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FTFO 2022-23\"/>
    </mc:Choice>
  </mc:AlternateContent>
  <bookViews>
    <workbookView xWindow="-120" yWindow="-120" windowWidth="29040" windowHeight="15840" tabRatio="712" activeTab="1"/>
  </bookViews>
  <sheets>
    <sheet name="Table of Contents" sheetId="15" r:id="rId1"/>
    <sheet name="Fall 2022 FON Compliance Form" sheetId="1" r:id="rId2"/>
    <sheet name="Definitions" sheetId="10" r:id="rId3"/>
    <sheet name="Fall 2022 Compliance FON" sheetId="14" r:id="rId4"/>
    <sheet name="Fall 2022 P2 FON Calculation" sheetId="12" r:id="rId5"/>
    <sheet name="FON Estimator" sheetId="11" r:id="rId6"/>
    <sheet name="ReplacementCost" sheetId="9" r:id="rId7"/>
  </sheets>
  <definedNames>
    <definedName name="_Dist_Bin" localSheetId="2" hidden="1">#REF!</definedName>
    <definedName name="_Dist_Bin" localSheetId="3" hidden="1">#REF!</definedName>
    <definedName name="_Dist_Bin" localSheetId="4" hidden="1">#REF!</definedName>
    <definedName name="_Dist_Bin" localSheetId="5" hidden="1">#REF!</definedName>
    <definedName name="_Dist_Bin" hidden="1">#REF!</definedName>
    <definedName name="_Dist_Values" localSheetId="2" hidden="1">#REF!</definedName>
    <definedName name="_Dist_Values" localSheetId="3" hidden="1">#REF!</definedName>
    <definedName name="_Dist_Values" localSheetId="4" hidden="1">#REF!</definedName>
    <definedName name="_Dist_Values" localSheetId="5" hidden="1">#REF!</definedName>
    <definedName name="_Dist_Values" hidden="1">#REF!</definedName>
    <definedName name="_Fill" localSheetId="2" hidden="1">#REF!</definedName>
    <definedName name="_Fill" localSheetId="3" hidden="1">#REF!</definedName>
    <definedName name="_Fill" localSheetId="4" hidden="1">#REF!</definedName>
    <definedName name="_Fill" localSheetId="5" hidden="1">#REF!</definedName>
    <definedName name="_Fill" hidden="1">#REF!</definedName>
    <definedName name="_xlnm._FilterDatabase" localSheetId="3" hidden="1">'Fall 2022 Compliance FON'!$B$3:$B$75</definedName>
    <definedName name="_xlnm._FilterDatabase" localSheetId="4" hidden="1">'Fall 2022 P2 FON Calculation'!$B$3:$J$75</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Base_FON" comment="Use in FON Estimator">'Fall 2022 P2 FON Calculation'!$C$3:$C$75</definedName>
    <definedName name="Fall2022ComplianceFON" comment="Use on Fall 2022 FON Compliance Form">Fall2022FON[]</definedName>
    <definedName name="Fall2022P2" comment="Use in FON estimator ">Fall_FON_Calculations[]</definedName>
    <definedName name="_xlnm.Print_Area" localSheetId="3">'Fall 2022 Compliance FON'!$B$2:$G$76</definedName>
    <definedName name="_xlnm.Print_Area" localSheetId="1">'Fall 2022 FON Compliance Form'!$A$1:$J$32</definedName>
    <definedName name="_xlnm.Print_Area" localSheetId="4">'Fall 2022 P2 FON Calculation'!$B$2:$L$77</definedName>
    <definedName name="_xlnm.Print_Area" localSheetId="5">'FON Estimator'!$C$2:$E$19</definedName>
    <definedName name="_xlnm.Print_Titles" localSheetId="3">'Fall 2022 Compliance FON'!$2:$3</definedName>
    <definedName name="_xlnm.Print_Titles" localSheetId="4">'Fall 2022 P2 FON Calculation'!$2:$3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6" i="12" l="1"/>
  <c r="D76" i="12"/>
  <c r="E76" i="12"/>
  <c r="K76" i="12"/>
  <c r="C45" i="9" l="1"/>
  <c r="B16" i="9"/>
  <c r="B17" i="9" s="1"/>
  <c r="B22" i="9"/>
  <c r="B28" i="9" s="1"/>
  <c r="B27" i="9" l="1"/>
  <c r="B26" i="9"/>
  <c r="B25" i="9"/>
  <c r="B29" i="9" s="1"/>
  <c r="B31" i="9" s="1"/>
  <c r="B33" i="9" s="1"/>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J11" i="1" s="1"/>
  <c r="J12" i="1" s="1"/>
  <c r="I16" i="1" s="1"/>
  <c r="I21" i="1" s="1"/>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C76" i="14"/>
  <c r="D76" i="14"/>
  <c r="E76" i="14"/>
  <c r="F76" i="14"/>
  <c r="G76" i="14" l="1"/>
  <c r="E12" i="11"/>
  <c r="E18" i="11"/>
  <c r="E11" i="11"/>
  <c r="E10" i="11"/>
  <c r="G75" i="12"/>
  <c r="H75" i="12" s="1"/>
  <c r="I75" i="12" s="1"/>
  <c r="J75" i="12" s="1"/>
  <c r="L75" i="12" s="1"/>
  <c r="G74" i="12"/>
  <c r="H74" i="12" s="1"/>
  <c r="I74" i="12" s="1"/>
  <c r="J74" i="12" s="1"/>
  <c r="L74" i="12" s="1"/>
  <c r="G73" i="12"/>
  <c r="H73" i="12" s="1"/>
  <c r="I73" i="12" s="1"/>
  <c r="J73" i="12" s="1"/>
  <c r="L73" i="12" s="1"/>
  <c r="G72" i="12"/>
  <c r="H72" i="12" s="1"/>
  <c r="I72" i="12" s="1"/>
  <c r="J72" i="12" s="1"/>
  <c r="L72" i="12" s="1"/>
  <c r="G71" i="12"/>
  <c r="H71" i="12" s="1"/>
  <c r="I71" i="12" s="1"/>
  <c r="J71" i="12" s="1"/>
  <c r="L71" i="12" s="1"/>
  <c r="G70" i="12"/>
  <c r="H70" i="12" s="1"/>
  <c r="I70" i="12" s="1"/>
  <c r="J70" i="12" s="1"/>
  <c r="L70" i="12" s="1"/>
  <c r="H69" i="12"/>
  <c r="I69" i="12" s="1"/>
  <c r="J69" i="12" s="1"/>
  <c r="L69" i="12" s="1"/>
  <c r="G69" i="12"/>
  <c r="G68" i="12"/>
  <c r="H68" i="12" s="1"/>
  <c r="I68" i="12" s="1"/>
  <c r="J68" i="12" s="1"/>
  <c r="L68" i="12" s="1"/>
  <c r="G67" i="12"/>
  <c r="H67" i="12" s="1"/>
  <c r="I67" i="12" s="1"/>
  <c r="J67" i="12" s="1"/>
  <c r="L67" i="12" s="1"/>
  <c r="G66" i="12"/>
  <c r="H66" i="12" s="1"/>
  <c r="I66" i="12" s="1"/>
  <c r="J66" i="12" s="1"/>
  <c r="L66" i="12" s="1"/>
  <c r="H65" i="12"/>
  <c r="I65" i="12" s="1"/>
  <c r="J65" i="12" s="1"/>
  <c r="L65" i="12" s="1"/>
  <c r="G65" i="12"/>
  <c r="G64" i="12"/>
  <c r="H64" i="12" s="1"/>
  <c r="I64" i="12" s="1"/>
  <c r="J64" i="12" s="1"/>
  <c r="L64" i="12" s="1"/>
  <c r="G63" i="12"/>
  <c r="H63" i="12" s="1"/>
  <c r="I63" i="12" s="1"/>
  <c r="J63" i="12" s="1"/>
  <c r="L63" i="12" s="1"/>
  <c r="G62" i="12"/>
  <c r="H62" i="12" s="1"/>
  <c r="I62" i="12" s="1"/>
  <c r="J62" i="12" s="1"/>
  <c r="L62" i="12" s="1"/>
  <c r="G61" i="12"/>
  <c r="H61" i="12" s="1"/>
  <c r="I61" i="12" s="1"/>
  <c r="J61" i="12" s="1"/>
  <c r="L61" i="12" s="1"/>
  <c r="G60" i="12"/>
  <c r="H60" i="12" s="1"/>
  <c r="I60" i="12" s="1"/>
  <c r="J60" i="12" s="1"/>
  <c r="L60" i="12" s="1"/>
  <c r="G59" i="12"/>
  <c r="H59" i="12" s="1"/>
  <c r="I59" i="12" s="1"/>
  <c r="J59" i="12" s="1"/>
  <c r="L59" i="12" s="1"/>
  <c r="H58" i="12"/>
  <c r="I58" i="12" s="1"/>
  <c r="J58" i="12" s="1"/>
  <c r="L58" i="12" s="1"/>
  <c r="G58" i="12"/>
  <c r="G57" i="12"/>
  <c r="H57" i="12" s="1"/>
  <c r="I57" i="12" s="1"/>
  <c r="J57" i="12" s="1"/>
  <c r="L57" i="12" s="1"/>
  <c r="G56" i="12"/>
  <c r="H56" i="12" s="1"/>
  <c r="I56" i="12" s="1"/>
  <c r="J56" i="12" s="1"/>
  <c r="L56" i="12" s="1"/>
  <c r="G55" i="12"/>
  <c r="H55" i="12" s="1"/>
  <c r="I55" i="12" s="1"/>
  <c r="J55" i="12" s="1"/>
  <c r="L55" i="12" s="1"/>
  <c r="G54" i="12"/>
  <c r="H54" i="12" s="1"/>
  <c r="I54" i="12" s="1"/>
  <c r="J54" i="12" s="1"/>
  <c r="L54" i="12" s="1"/>
  <c r="G53" i="12"/>
  <c r="H53" i="12" s="1"/>
  <c r="I53" i="12" s="1"/>
  <c r="J53" i="12" s="1"/>
  <c r="L53" i="12" s="1"/>
  <c r="G52" i="12"/>
  <c r="H52" i="12" s="1"/>
  <c r="I52" i="12" s="1"/>
  <c r="J52" i="12" s="1"/>
  <c r="L52" i="12" s="1"/>
  <c r="G51" i="12"/>
  <c r="H51" i="12" s="1"/>
  <c r="I51" i="12" s="1"/>
  <c r="J51" i="12" s="1"/>
  <c r="L51" i="12" s="1"/>
  <c r="G50" i="12"/>
  <c r="H50" i="12" s="1"/>
  <c r="I50" i="12" s="1"/>
  <c r="J50" i="12" s="1"/>
  <c r="L50" i="12" s="1"/>
  <c r="G49" i="12"/>
  <c r="H49" i="12" s="1"/>
  <c r="I49" i="12" s="1"/>
  <c r="J49" i="12" s="1"/>
  <c r="L49" i="12" s="1"/>
  <c r="G48" i="12"/>
  <c r="H48" i="12" s="1"/>
  <c r="I48" i="12" s="1"/>
  <c r="J48" i="12" s="1"/>
  <c r="L48" i="12" s="1"/>
  <c r="G47" i="12"/>
  <c r="H47" i="12" s="1"/>
  <c r="I47" i="12" s="1"/>
  <c r="J47" i="12" s="1"/>
  <c r="L47" i="12" s="1"/>
  <c r="G46" i="12"/>
  <c r="H46" i="12" s="1"/>
  <c r="I46" i="12" s="1"/>
  <c r="J46" i="12" s="1"/>
  <c r="L46" i="12" s="1"/>
  <c r="G45" i="12"/>
  <c r="H45" i="12" s="1"/>
  <c r="I45" i="12" s="1"/>
  <c r="J45" i="12" s="1"/>
  <c r="L45" i="12" s="1"/>
  <c r="G44" i="12"/>
  <c r="H44" i="12" s="1"/>
  <c r="I44" i="12" s="1"/>
  <c r="J44" i="12" s="1"/>
  <c r="L44" i="12" s="1"/>
  <c r="G43" i="12"/>
  <c r="H43" i="12" s="1"/>
  <c r="I43" i="12" s="1"/>
  <c r="J43" i="12" s="1"/>
  <c r="L43" i="12" s="1"/>
  <c r="G42" i="12"/>
  <c r="H42" i="12" s="1"/>
  <c r="I42" i="12" s="1"/>
  <c r="J42" i="12" s="1"/>
  <c r="L42" i="12" s="1"/>
  <c r="G41" i="12"/>
  <c r="H41" i="12" s="1"/>
  <c r="I41" i="12" s="1"/>
  <c r="J41" i="12" s="1"/>
  <c r="L41" i="12" s="1"/>
  <c r="G40" i="12"/>
  <c r="G76" i="12" s="1"/>
  <c r="G39" i="12"/>
  <c r="H39" i="12" s="1"/>
  <c r="I39" i="12" s="1"/>
  <c r="J39" i="12" s="1"/>
  <c r="L39" i="12" s="1"/>
  <c r="G38" i="12"/>
  <c r="H38" i="12" s="1"/>
  <c r="I38" i="12" s="1"/>
  <c r="J38" i="12" s="1"/>
  <c r="L38" i="12" s="1"/>
  <c r="G37" i="12"/>
  <c r="H37" i="12" s="1"/>
  <c r="I37" i="12" s="1"/>
  <c r="J37" i="12" s="1"/>
  <c r="L37" i="12" s="1"/>
  <c r="G36" i="12"/>
  <c r="H36" i="12" s="1"/>
  <c r="I36" i="12" s="1"/>
  <c r="J36" i="12" s="1"/>
  <c r="L36" i="12" s="1"/>
  <c r="G35" i="12"/>
  <c r="H35" i="12" s="1"/>
  <c r="I35" i="12" s="1"/>
  <c r="J35" i="12" s="1"/>
  <c r="L35" i="12" s="1"/>
  <c r="G34" i="12"/>
  <c r="H34" i="12" s="1"/>
  <c r="I34" i="12" s="1"/>
  <c r="J34" i="12" s="1"/>
  <c r="L34" i="12" s="1"/>
  <c r="G33" i="12"/>
  <c r="H33" i="12" s="1"/>
  <c r="I33" i="12" s="1"/>
  <c r="J33" i="12" s="1"/>
  <c r="L33" i="12" s="1"/>
  <c r="G32" i="12"/>
  <c r="H32" i="12" s="1"/>
  <c r="I32" i="12" s="1"/>
  <c r="J32" i="12" s="1"/>
  <c r="L32" i="12" s="1"/>
  <c r="G31" i="12"/>
  <c r="H31" i="12" s="1"/>
  <c r="I31" i="12" s="1"/>
  <c r="J31" i="12" s="1"/>
  <c r="L31" i="12" s="1"/>
  <c r="G30" i="12"/>
  <c r="H30" i="12" s="1"/>
  <c r="I30" i="12" s="1"/>
  <c r="J30" i="12" s="1"/>
  <c r="L30" i="12" s="1"/>
  <c r="G29" i="12"/>
  <c r="H29" i="12" s="1"/>
  <c r="I29" i="12" s="1"/>
  <c r="J29" i="12" s="1"/>
  <c r="L29" i="12" s="1"/>
  <c r="G28" i="12"/>
  <c r="H28" i="12" s="1"/>
  <c r="I28" i="12" s="1"/>
  <c r="J28" i="12" s="1"/>
  <c r="L28" i="12" s="1"/>
  <c r="G27" i="12"/>
  <c r="H27" i="12" s="1"/>
  <c r="I27" i="12" s="1"/>
  <c r="J27" i="12" s="1"/>
  <c r="L27" i="12" s="1"/>
  <c r="G26" i="12"/>
  <c r="H26" i="12" s="1"/>
  <c r="I26" i="12" s="1"/>
  <c r="J26" i="12" s="1"/>
  <c r="L26" i="12" s="1"/>
  <c r="G25" i="12"/>
  <c r="H25" i="12" s="1"/>
  <c r="I25" i="12" s="1"/>
  <c r="J25" i="12" s="1"/>
  <c r="L25" i="12" s="1"/>
  <c r="G24" i="12"/>
  <c r="H24" i="12" s="1"/>
  <c r="I24" i="12" s="1"/>
  <c r="J24" i="12" s="1"/>
  <c r="L24" i="12" s="1"/>
  <c r="G23" i="12"/>
  <c r="H23" i="12" s="1"/>
  <c r="I23" i="12" s="1"/>
  <c r="J23" i="12" s="1"/>
  <c r="L23" i="12" s="1"/>
  <c r="G22" i="12"/>
  <c r="H22" i="12" s="1"/>
  <c r="I22" i="12" s="1"/>
  <c r="J22" i="12" s="1"/>
  <c r="L22" i="12" s="1"/>
  <c r="G21" i="12"/>
  <c r="H21" i="12" s="1"/>
  <c r="I21" i="12" s="1"/>
  <c r="J21" i="12" s="1"/>
  <c r="L21" i="12" s="1"/>
  <c r="G20" i="12"/>
  <c r="H20" i="12" s="1"/>
  <c r="I20" i="12" s="1"/>
  <c r="J20" i="12" s="1"/>
  <c r="L20" i="12" s="1"/>
  <c r="G19" i="12"/>
  <c r="H19" i="12" s="1"/>
  <c r="I19" i="12" s="1"/>
  <c r="J19" i="12" s="1"/>
  <c r="L19" i="12" s="1"/>
  <c r="G18" i="12"/>
  <c r="H18" i="12" s="1"/>
  <c r="I18" i="12" s="1"/>
  <c r="J18" i="12" s="1"/>
  <c r="L18" i="12" s="1"/>
  <c r="G17" i="12"/>
  <c r="H17" i="12" s="1"/>
  <c r="I17" i="12" s="1"/>
  <c r="J17" i="12" s="1"/>
  <c r="L17" i="12" s="1"/>
  <c r="G16" i="12"/>
  <c r="H16" i="12" s="1"/>
  <c r="I16" i="12" s="1"/>
  <c r="J16" i="12" s="1"/>
  <c r="L16" i="12" s="1"/>
  <c r="G15" i="12"/>
  <c r="H15" i="12" s="1"/>
  <c r="I15" i="12" s="1"/>
  <c r="J15" i="12" s="1"/>
  <c r="L15" i="12" s="1"/>
  <c r="G14" i="12"/>
  <c r="H14" i="12" s="1"/>
  <c r="I14" i="12" s="1"/>
  <c r="J14" i="12" s="1"/>
  <c r="L14" i="12" s="1"/>
  <c r="G13" i="12"/>
  <c r="H13" i="12" s="1"/>
  <c r="I13" i="12" s="1"/>
  <c r="J13" i="12" s="1"/>
  <c r="L13" i="12" s="1"/>
  <c r="G12" i="12"/>
  <c r="H12" i="12" s="1"/>
  <c r="I12" i="12" s="1"/>
  <c r="J12" i="12" s="1"/>
  <c r="L12" i="12" s="1"/>
  <c r="G11" i="12"/>
  <c r="H11" i="12" s="1"/>
  <c r="I11" i="12" s="1"/>
  <c r="J11" i="12" s="1"/>
  <c r="L11" i="12" s="1"/>
  <c r="G10" i="12"/>
  <c r="H10" i="12" s="1"/>
  <c r="I10" i="12" s="1"/>
  <c r="J10" i="12" s="1"/>
  <c r="L10" i="12" s="1"/>
  <c r="G9" i="12"/>
  <c r="H9" i="12" s="1"/>
  <c r="I9" i="12" s="1"/>
  <c r="J9" i="12" s="1"/>
  <c r="L9" i="12" s="1"/>
  <c r="G8" i="12"/>
  <c r="H8" i="12" s="1"/>
  <c r="I8" i="12" s="1"/>
  <c r="J8" i="12" s="1"/>
  <c r="L8" i="12" s="1"/>
  <c r="G7" i="12"/>
  <c r="H7" i="12" s="1"/>
  <c r="I7" i="12" s="1"/>
  <c r="J7" i="12" s="1"/>
  <c r="L7" i="12" s="1"/>
  <c r="G6" i="12"/>
  <c r="H6" i="12" s="1"/>
  <c r="I6" i="12" s="1"/>
  <c r="J6" i="12" s="1"/>
  <c r="L6" i="12" s="1"/>
  <c r="G5" i="12"/>
  <c r="H5" i="12" s="1"/>
  <c r="I5" i="12" s="1"/>
  <c r="J5" i="12" s="1"/>
  <c r="L5" i="12" s="1"/>
  <c r="G4" i="12"/>
  <c r="H4" i="12" s="1"/>
  <c r="I4" i="12" s="1"/>
  <c r="J4" i="12" s="1"/>
  <c r="E13" i="11"/>
  <c r="G39" i="9"/>
  <c r="G40" i="9"/>
  <c r="G41" i="9"/>
  <c r="G42" i="9"/>
  <c r="G43" i="9"/>
  <c r="G44" i="9"/>
  <c r="D45" i="9"/>
  <c r="E45" i="9"/>
  <c r="H40" i="12" l="1"/>
  <c r="H76" i="12" s="1"/>
  <c r="E14" i="11"/>
  <c r="E15" i="11" s="1"/>
  <c r="E16" i="11" s="1"/>
  <c r="L4" i="12"/>
  <c r="F45" i="9"/>
  <c r="G45" i="9" s="1"/>
  <c r="J20" i="1"/>
  <c r="E17" i="11" l="1"/>
  <c r="E19" i="11" s="1"/>
  <c r="I40" i="12"/>
  <c r="J40" i="12" s="1"/>
  <c r="J76" i="12" s="1"/>
  <c r="I76" i="12"/>
  <c r="J9" i="1"/>
  <c r="J10" i="1" s="1"/>
  <c r="L40" i="12" l="1"/>
  <c r="L76" i="12" s="1"/>
</calcChain>
</file>

<file path=xl/sharedStrings.xml><?xml version="1.0" encoding="utf-8"?>
<sst xmlns="http://schemas.openxmlformats.org/spreadsheetml/2006/main" count="390" uniqueCount="286">
  <si>
    <t>California Community Colleges</t>
  </si>
  <si>
    <t>Full-Time Faculty Obligation</t>
  </si>
  <si>
    <t>Date:</t>
  </si>
  <si>
    <t>I.</t>
  </si>
  <si>
    <t>Total Full-Time Equivalent Faculty (FTEF) attributable to full-time faculty</t>
  </si>
  <si>
    <t xml:space="preserve">Total FTEF attributable to part-time faculty </t>
  </si>
  <si>
    <t>II.</t>
  </si>
  <si>
    <t>III.</t>
  </si>
  <si>
    <t xml:space="preserve">Total FTEF </t>
  </si>
  <si>
    <t>IV.</t>
  </si>
  <si>
    <t xml:space="preserve">Full-time faculty as a percentage of total FTEF </t>
  </si>
  <si>
    <t>V.</t>
  </si>
  <si>
    <t>VI.</t>
  </si>
  <si>
    <t>Estimated Penalty</t>
  </si>
  <si>
    <t>Allan Hancock</t>
  </si>
  <si>
    <t>Antelope Valley</t>
  </si>
  <si>
    <t>Barstow</t>
  </si>
  <si>
    <t>Butte</t>
  </si>
  <si>
    <t>Cabrillo</t>
  </si>
  <si>
    <t>Cerritos</t>
  </si>
  <si>
    <t>Chabot-Las Positas</t>
  </si>
  <si>
    <t>Chaffey</t>
  </si>
  <si>
    <t>Citrus</t>
  </si>
  <si>
    <t>Coast</t>
  </si>
  <si>
    <t>Compton</t>
  </si>
  <si>
    <t>Contra Costa</t>
  </si>
  <si>
    <t>Desert</t>
  </si>
  <si>
    <t>El Camino</t>
  </si>
  <si>
    <t>Feather River</t>
  </si>
  <si>
    <t>Foothill-DeAnza</t>
  </si>
  <si>
    <t>Gavilan</t>
  </si>
  <si>
    <t>Glendale</t>
  </si>
  <si>
    <t>Grossmont-Cuyamaca</t>
  </si>
  <si>
    <t>Hartnell</t>
  </si>
  <si>
    <t>Imperial</t>
  </si>
  <si>
    <t>Kern</t>
  </si>
  <si>
    <t>Lake Tahoe</t>
  </si>
  <si>
    <t>Lassen</t>
  </si>
  <si>
    <t>Long Beach</t>
  </si>
  <si>
    <t>Los Angeles</t>
  </si>
  <si>
    <t>Los Rios</t>
  </si>
  <si>
    <t>Marin</t>
  </si>
  <si>
    <t>Mendocino-Lake</t>
  </si>
  <si>
    <t>Merced</t>
  </si>
  <si>
    <t>Monterey Peninsula</t>
  </si>
  <si>
    <t>Mt. San Antonio</t>
  </si>
  <si>
    <t>Mt. San Jacinto</t>
  </si>
  <si>
    <t>Napa Valley</t>
  </si>
  <si>
    <t>North Orange County</t>
  </si>
  <si>
    <t>Ohlone</t>
  </si>
  <si>
    <t>Palo Verde</t>
  </si>
  <si>
    <t>Palomar</t>
  </si>
  <si>
    <t>Peralta</t>
  </si>
  <si>
    <t>Rancho Santiago</t>
  </si>
  <si>
    <t>Redwoods</t>
  </si>
  <si>
    <t>Rio Hondo</t>
  </si>
  <si>
    <t>Riverside</t>
  </si>
  <si>
    <t>San Bernardino</t>
  </si>
  <si>
    <t>San Diego</t>
  </si>
  <si>
    <t>San Francisco</t>
  </si>
  <si>
    <t>San Joaquin Delta</t>
  </si>
  <si>
    <t>San Jose-Evergreen</t>
  </si>
  <si>
    <t>San Luis Obispo</t>
  </si>
  <si>
    <t>San Mateo</t>
  </si>
  <si>
    <t>Santa Barbara</t>
  </si>
  <si>
    <t>Santa Clarita</t>
  </si>
  <si>
    <t>Santa Monica</t>
  </si>
  <si>
    <t>Sequoias</t>
  </si>
  <si>
    <t>Shasta-Tehama-Trinity</t>
  </si>
  <si>
    <t>Sierra</t>
  </si>
  <si>
    <t>Solano</t>
  </si>
  <si>
    <t>Southwestern</t>
  </si>
  <si>
    <t>State Center</t>
  </si>
  <si>
    <t>Ventura</t>
  </si>
  <si>
    <t>Victor Valley</t>
  </si>
  <si>
    <t>West Hills</t>
  </si>
  <si>
    <t>West Kern</t>
  </si>
  <si>
    <t>West Valley-Mission</t>
  </si>
  <si>
    <t>Yosemite</t>
  </si>
  <si>
    <t>Yuba</t>
  </si>
  <si>
    <t>A.</t>
  </si>
  <si>
    <t>Full-time Faculty Cost</t>
  </si>
  <si>
    <t>Optional Benefits and mandatory contributions @25%</t>
  </si>
  <si>
    <t>Total Compensation</t>
  </si>
  <si>
    <t>B.</t>
  </si>
  <si>
    <t>Part-time Faculty Offset</t>
  </si>
  <si>
    <t>(15WFCH per week x 35 weeks x $xxx WFCH)</t>
  </si>
  <si>
    <t>Part-time faculty mandatory contributions</t>
  </si>
  <si>
    <t>Social security/retirement, 7.65%</t>
  </si>
  <si>
    <t>Unemployment insurance, 1.5%</t>
  </si>
  <si>
    <t>Employment training,.1%</t>
  </si>
  <si>
    <t>Worker's Compensation, 1.5%</t>
  </si>
  <si>
    <t>Total cost of mandatory contributions  10.75%</t>
  </si>
  <si>
    <t>Total Part-time faculty cost</t>
  </si>
  <si>
    <t>District Contact Information:</t>
  </si>
  <si>
    <t>Name:</t>
  </si>
  <si>
    <t>Email:</t>
  </si>
  <si>
    <t>District Chief Executive Officer:</t>
  </si>
  <si>
    <t>I hereby certify that the information above is true and correct to the best of my knowledge.</t>
  </si>
  <si>
    <t>Name &amp; Title:</t>
  </si>
  <si>
    <t>Instructions/Notes</t>
  </si>
  <si>
    <t>DISTRICT:</t>
  </si>
  <si>
    <t>Select district from dropdown menu</t>
  </si>
  <si>
    <t>Enter amount of "Total full-time equivalent faculty (FTEF) attributable to instructional and noninstructional Full-Time Faculty" based on Title 5 Sections 53302 and 53309</t>
  </si>
  <si>
    <t>Enter amount of "Total FTEF attributable to instructional and noninstructional Part-Time Faculty" based on Title 5 Sections 53301 and 53310</t>
  </si>
  <si>
    <t>ß</t>
  </si>
  <si>
    <r>
      <t xml:space="preserve">Total of line I. plus II. </t>
    </r>
    <r>
      <rPr>
        <i/>
        <sz val="11"/>
        <color theme="1"/>
        <rFont val="Source Sans Pro"/>
        <family val="2"/>
      </rPr>
      <t>(automatically calculates)</t>
    </r>
  </si>
  <si>
    <t>=</t>
  </si>
  <si>
    <r>
      <t xml:space="preserve">Line I. &gt;= V. (aka Line VI. &gt;= 0) </t>
    </r>
    <r>
      <rPr>
        <i/>
        <sz val="11"/>
        <color theme="1"/>
        <rFont val="Source Sans Pro"/>
        <family val="2"/>
      </rPr>
      <t>(automatically checks compliance)</t>
    </r>
  </si>
  <si>
    <r>
      <t xml:space="preserve">From Replacement Cost tab </t>
    </r>
    <r>
      <rPr>
        <i/>
        <sz val="11"/>
        <color theme="1"/>
        <rFont val="Source Sans Pro"/>
        <family val="2"/>
      </rPr>
      <t>(automatically populates)</t>
    </r>
  </si>
  <si>
    <t xml:space="preserve">Send to the Chancellor's Office the digitally signed pdf. If you need assistance, please reach out to our office. </t>
  </si>
  <si>
    <t>* Digital Signature:</t>
  </si>
  <si>
    <t>*</t>
  </si>
  <si>
    <t>Once filled out, convert form into PDF. (Click on File, then Save as Adobe PDF).  Then sign digitally.</t>
  </si>
  <si>
    <t>Calculated in this spreadsheet.</t>
  </si>
  <si>
    <t>The FTES adjustment is the Increase or decrease to FON due to change in FTES  
= (Percent Change * Base FON) rounded down to nearest whole number.</t>
  </si>
  <si>
    <t>FTES Adjustment</t>
  </si>
  <si>
    <t>Percent Change (Change in FTES/Base Credit FTES)</t>
  </si>
  <si>
    <t>This column reflects the difference between the prior and current year estimated FTES.
Change in FTES from Prior Year 
= (Adjusted Funded Credit FTES - Base Credit FTES)</t>
  </si>
  <si>
    <t>Change in FTES Growth/(Decline)</t>
  </si>
  <si>
    <t>Adjustment to reflect that statewide Total Computational Revenue is estimated as not fully funded.
For apportionments, the deficit factor is applied to the dollar amount of funding (FTES x funding rate).  For the purposes of calculating the FON, we apply the deficit factor directly to the number of FTES. 
= (Funded Credit FTES x (1- Deficit Percentage))</t>
  </si>
  <si>
    <t>Funded Credit FTEs adjusted for Deficit Percentage</t>
  </si>
  <si>
    <t xml:space="preserve">Applies if state funding is insufficient to fully fund Total Computational Revenue.  </t>
  </si>
  <si>
    <t>Deficit Percentage</t>
  </si>
  <si>
    <t>Funded Credit FTES</t>
  </si>
  <si>
    <t xml:space="preserve">Prior year actual funded credit FTES as of most recent apportionment report. Updated at each apportionment cycle and finalized at apportionment recalculation. </t>
  </si>
  <si>
    <t>Base Credit FTES</t>
  </si>
  <si>
    <t xml:space="preserve">Base FON </t>
  </si>
  <si>
    <t>Source</t>
  </si>
  <si>
    <t>Definition</t>
  </si>
  <si>
    <t>Column</t>
  </si>
  <si>
    <t>Estimated R1 FON</t>
  </si>
  <si>
    <t>FTES adjustment</t>
  </si>
  <si>
    <t>(h = a*g)</t>
  </si>
  <si>
    <t>Percent change in FTES</t>
  </si>
  <si>
    <t>(g = f/b)</t>
  </si>
  <si>
    <t>Change in FTES</t>
  </si>
  <si>
    <t>(f = e-b)</t>
  </si>
  <si>
    <t>Funded credit FTES adjusted for deficit factor</t>
  </si>
  <si>
    <t>(e = c*d)</t>
  </si>
  <si>
    <t>(1-deficit factor)</t>
  </si>
  <si>
    <t>(d)</t>
  </si>
  <si>
    <t>&lt;-- Automatically populates from your estimate in Cell E5 above</t>
  </si>
  <si>
    <t>Funded credit FTES</t>
  </si>
  <si>
    <t>(c)</t>
  </si>
  <si>
    <t xml:space="preserve">Base credit FTES </t>
  </si>
  <si>
    <t>(b)</t>
  </si>
  <si>
    <t>Base FON</t>
  </si>
  <si>
    <t>(a)</t>
  </si>
  <si>
    <t>&lt;-- Input your estimated deficit factor</t>
  </si>
  <si>
    <t>Deficit Factor</t>
  </si>
  <si>
    <t>&lt;-- Input your estimate of total of  3 year average Credit + Special Admit Credit + Incarcerated Credit</t>
  </si>
  <si>
    <t>R1 Three Year Average Funded Credit FTES</t>
  </si>
  <si>
    <t>Estimates</t>
  </si>
  <si>
    <t>&lt;-- Select district from dropdown menu</t>
  </si>
  <si>
    <t>District</t>
  </si>
  <si>
    <t>Copper Mt.</t>
  </si>
  <si>
    <t>Mira Costa</t>
  </si>
  <si>
    <t>Pasadena Area</t>
  </si>
  <si>
    <t>Siskiyou</t>
  </si>
  <si>
    <t>Sonoma County</t>
  </si>
  <si>
    <t>South Orange</t>
  </si>
  <si>
    <t>FTES Adjustment
(h = a*g)</t>
  </si>
  <si>
    <t>Percent Change 
(Change in FTES/Base Credit FTES)
(g = f/b)</t>
  </si>
  <si>
    <t>Change in FTES 
Growth (Decline)
(f = e-b)</t>
  </si>
  <si>
    <t>Funded Credit FTES adjusted for Deficit Percentage
(e = c*(1-d))</t>
  </si>
  <si>
    <t>The percent change in FTES from prior year to current year.
= (Change in FTES/Base Credit FTES)</t>
  </si>
  <si>
    <t>Fall 2022 Compliance Report</t>
  </si>
  <si>
    <t>Fall 2022 FON Compliance Options</t>
  </si>
  <si>
    <t>Estimated Full-time faculty obligation penalty for Fall 2022:</t>
  </si>
  <si>
    <t xml:space="preserve">Please complete and return this form by November 1, 2022 to fiscalstandards@cccco.edu </t>
  </si>
  <si>
    <t>Fall 2022 Full-time faculty obligation</t>
  </si>
  <si>
    <r>
      <t xml:space="preserve">Fall 2022 Full-Time Faculty Obligation (from “Fall 2022 Compliance FON” on "Fall 2022 Compliance" tab) </t>
    </r>
    <r>
      <rPr>
        <i/>
        <sz val="11"/>
        <color theme="1"/>
        <rFont val="Source Sans Pro"/>
        <family val="2"/>
      </rPr>
      <t>(automatically populates)</t>
    </r>
  </si>
  <si>
    <t>Fall 2021</t>
  </si>
  <si>
    <t>Fall 2020</t>
  </si>
  <si>
    <t>Fall 2019</t>
  </si>
  <si>
    <t>Fall 2018</t>
  </si>
  <si>
    <t>Fall 2017</t>
  </si>
  <si>
    <t>Fall 2016</t>
  </si>
  <si>
    <t>Fall 2015</t>
  </si>
  <si>
    <t>Replacement Cost</t>
  </si>
  <si>
    <t>Avg. P/T</t>
  </si>
  <si>
    <t xml:space="preserve">Avg. F/T  </t>
  </si>
  <si>
    <t>D.</t>
  </si>
  <si>
    <t>C.</t>
  </si>
  <si>
    <t>Historical Faculty Replacement Cost</t>
  </si>
  <si>
    <t>E.</t>
  </si>
  <si>
    <t>PT faculty workload equivalent (calculated using FTEF for credit and noncredit)</t>
  </si>
  <si>
    <t>Average PT faculty hourly rate for Fall (Use statewide average hourly salary for Academic Temporary - Instruction, Credit &amp; Noncredit)</t>
  </si>
  <si>
    <t xml:space="preserve">Average Annual Salary Tenured/Tenure Track </t>
  </si>
  <si>
    <t xml:space="preserve">Step 2:
Use two reports to calculate faculty replacement cost for past Fall. 
Input statewide average salary and statewide academic temporary for as per title 5 51025 (d).
Once inputs are entered, then it will calculate replacement cost. </t>
  </si>
  <si>
    <t>Instructions:</t>
  </si>
  <si>
    <t xml:space="preserve">The statewide average full-time faculty teaching load is equal to a full-time equivalent student’s contact hours of 525 hours per semester (see Title 5 section 58003.1), or 15 weekly faculty contact hours x 35 weeks = 525. 
</t>
  </si>
  <si>
    <t xml:space="preserve">Methodology: </t>
  </si>
  <si>
    <t xml:space="preserve">Choose (Fall) year from 2001-2021 </t>
  </si>
  <si>
    <t>Select Report (Fall) Year</t>
  </si>
  <si>
    <t>Employee Category Salary Distribution by District</t>
  </si>
  <si>
    <t>Select Report Type</t>
  </si>
  <si>
    <t>For Average Hourly Rate - Find Academic Temporary - Instruction, Credit &amp; Noncredit Statewide Rate</t>
  </si>
  <si>
    <t>Choose (Fall) year from 2001-2021</t>
  </si>
  <si>
    <t>Salary Distribution by District</t>
  </si>
  <si>
    <t>For Average Annual Salary - Find Tenured/Tenure Track Statewide Total</t>
  </si>
  <si>
    <t>Step 1:
To find reports use the following link:  https://datamart.cccco.edu/Faculty-Staff/Staff_Annual.aspx</t>
  </si>
  <si>
    <r>
      <t xml:space="preserve">Use Management Information Systems Data Mart, Annual Statewide Staffing Reports 
</t>
    </r>
    <r>
      <rPr>
        <b/>
        <sz val="11"/>
        <color theme="1"/>
        <rFont val="Calibri"/>
        <family val="2"/>
        <scheme val="minor"/>
      </rPr>
      <t/>
    </r>
  </si>
  <si>
    <t>Source:</t>
  </si>
  <si>
    <t xml:space="preserve">Report information is typically available in Spring and districts must provide by January 31. </t>
  </si>
  <si>
    <t>TAB</t>
  </si>
  <si>
    <t>Fall 2022 P2 FON Calculation</t>
  </si>
  <si>
    <t xml:space="preserve">Prior year FON as calculated per actual funded credit FTES.  Updated at each apportionment cycle and finalized at apportionment recalculation. </t>
  </si>
  <si>
    <t>Fall 2021 R1 FON</t>
  </si>
  <si>
    <t xml:space="preserve">2020-21 R1 Funded Credit FTES
 Exhibit C, Section 1a: FTES Data and Calculations, column i, "2020-21 Funded", total of Credit + Special Admit Credit + Incarcerated Credit.  </t>
  </si>
  <si>
    <t>Current Year funded credit FTES as of most recent apportionment cycle.  Updated at each apportionment cycle and finalized at apportionment recalculation. 
For Advance, this is the "projected fundable growth" FTES which includes Current year funded credit FTES with 100% stability restoration + growth projections for funded credit FTES, Inmate in Correctional Facilities credit FTES, and Special Admit Students credit FTES.</t>
  </si>
  <si>
    <r>
      <t xml:space="preserve">Funded Credit FTES =  
2021-22 P2 Funded Credit FTES
</t>
    </r>
    <r>
      <rPr>
        <sz val="11"/>
        <color rgb="FFFF0000"/>
        <rFont val="Source Sans Pro"/>
        <family val="2"/>
      </rPr>
      <t xml:space="preserve"> </t>
    </r>
    <r>
      <rPr>
        <sz val="11"/>
        <rFont val="Source Sans Pro"/>
        <family val="2"/>
      </rPr>
      <t>Exhibit C</t>
    </r>
    <r>
      <rPr>
        <sz val="11"/>
        <color theme="1"/>
        <rFont val="Source Sans Pro"/>
        <family val="2"/>
      </rPr>
      <t xml:space="preserve">, Section 1a: FTES Data and Calculations, column i, "2021-22 Funded", total of Credit + Special Admit Credit + Incarcerated Credit.  </t>
    </r>
  </si>
  <si>
    <t>2021-22 P2 Revenue Deficit Percentage</t>
  </si>
  <si>
    <t xml:space="preserve">2021-22 Full-Time Faculty Funds Impact to FON Calculation </t>
  </si>
  <si>
    <t>Fall 2022 R1 FON Estimator Tool</t>
  </si>
  <si>
    <t>Estimated Fall 2022 R1 FON</t>
  </si>
  <si>
    <t xml:space="preserve">&lt;-- Automatically populates from Tab "Fall 2022 P2 FON Calculation" </t>
  </si>
  <si>
    <t xml:space="preserve">(i) </t>
  </si>
  <si>
    <t xml:space="preserve">Full-Time Faculty Hiring Adjustment </t>
  </si>
  <si>
    <t xml:space="preserve">&lt;-- Automatically populates from Tab "Fall 2022 P2 Calculation" </t>
  </si>
  <si>
    <t>(j = a + h + i)</t>
  </si>
  <si>
    <t xml:space="preserve">Fall 2022 P2 Faculty Obligation Number </t>
  </si>
  <si>
    <t>Base Credit FTES: 
2020-21 R1 Funded Credit FTES
(b)</t>
  </si>
  <si>
    <t>Increase due to 2021-22 Full-Time Faculty Funds
(See Fiscal Memo FS 21-06)* 
(i)</t>
  </si>
  <si>
    <t>Fall 2022 P2 FON
(j = a + h + i )</t>
  </si>
  <si>
    <t>Statewide Total</t>
  </si>
  <si>
    <t>0.0000%</t>
  </si>
  <si>
    <t>Statewide Average Replacement Cost</t>
  </si>
  <si>
    <t>Fall 2022 Compliance FON</t>
  </si>
  <si>
    <t>Fall 2021
Compliance FON</t>
  </si>
  <si>
    <t>Fall 2021
Reported FON</t>
  </si>
  <si>
    <t>Fall 2022
Advance FON</t>
  </si>
  <si>
    <t>Fall 2022
Compliance FON</t>
  </si>
  <si>
    <t>Fall 2022 
P2 FON</t>
  </si>
  <si>
    <t>Meet or exceed Fall 2022 full-time faculty obligation</t>
  </si>
  <si>
    <t xml:space="preserve">If a district has incurred a penalty, the Chancellor's Office will provide further information and issue an invoice to the district for the penalty amount. </t>
  </si>
  <si>
    <t>Datamart Report Fall Year</t>
  </si>
  <si>
    <t>Fall 2022</t>
  </si>
  <si>
    <t>FON Compliance Fall Year</t>
  </si>
  <si>
    <r>
      <t>Total of line I. divided by III. district reported % (line IV.) (</t>
    </r>
    <r>
      <rPr>
        <i/>
        <sz val="11"/>
        <color theme="1"/>
        <rFont val="Source Sans Pro"/>
        <family val="2"/>
      </rPr>
      <t>automatically calculates</t>
    </r>
    <r>
      <rPr>
        <sz val="11"/>
        <color theme="1"/>
        <rFont val="Source Sans Pro"/>
        <family val="2"/>
      </rPr>
      <t>)</t>
    </r>
  </si>
  <si>
    <t>VII.</t>
  </si>
  <si>
    <t>VIII.</t>
  </si>
  <si>
    <r>
      <t xml:space="preserve">Line I. less V. If amount is less than zero, a penalty amount may appear on line VIII. </t>
    </r>
    <r>
      <rPr>
        <i/>
        <sz val="11"/>
        <color theme="1"/>
        <rFont val="Source Sans Pro"/>
        <family val="2"/>
      </rPr>
      <t>(automatically calculates)</t>
    </r>
  </si>
  <si>
    <r>
      <t>Over</t>
    </r>
    <r>
      <rPr>
        <sz val="11"/>
        <color rgb="FFC00000"/>
        <rFont val="Source Sans Pro"/>
        <family val="2"/>
      </rPr>
      <t>(Under)</t>
    </r>
    <r>
      <rPr>
        <sz val="11"/>
        <color theme="1"/>
        <rFont val="Source Sans Pro"/>
        <family val="2"/>
      </rPr>
      <t xml:space="preserve"> full-time faculty obligation</t>
    </r>
  </si>
  <si>
    <r>
      <t xml:space="preserve">If the compliance test is not met, penalty will be assessed. (Negative value on line VI. times line VII. average replacement cost) </t>
    </r>
    <r>
      <rPr>
        <i/>
        <sz val="11"/>
        <color theme="1"/>
        <rFont val="Source Sans Pro"/>
        <family val="2"/>
      </rPr>
      <t>(automatically calculates)</t>
    </r>
  </si>
  <si>
    <t>Phone:</t>
  </si>
  <si>
    <t xml:space="preserve">District will be notified by Chancellor's office and invoices will be issued in January 2023. </t>
  </si>
  <si>
    <t>The average replacement cost for Fall 2022:</t>
  </si>
  <si>
    <t>Base FON:
2020-21 R1 FON
(a)</t>
  </si>
  <si>
    <t>Funded Credit FTES:
2021-22 P2 Funded Credit FTES
(c )</t>
  </si>
  <si>
    <t>Deficit Percentage:
2021-22  P2
(d)</t>
  </si>
  <si>
    <t>Definitions for FON Calculation tab</t>
  </si>
  <si>
    <t>Table of Contents</t>
  </si>
  <si>
    <t xml:space="preserve">Fall 2022 FON Compliance Form </t>
  </si>
  <si>
    <t>Tab</t>
  </si>
  <si>
    <t>Instructions</t>
  </si>
  <si>
    <t>Definitions</t>
  </si>
  <si>
    <t>Fall 2022 FON Compliance FON</t>
  </si>
  <si>
    <t>Fall 2022 P2 FON Calculations</t>
  </si>
  <si>
    <t xml:space="preserve">FON Estimator </t>
  </si>
  <si>
    <t xml:space="preserve">Provides definitions for Fall 2022 P2 FON calculations and sources. </t>
  </si>
  <si>
    <t>Full-Time Faculty Replacement Cost Calculator June 2022</t>
  </si>
  <si>
    <t>Displays in a chart the compliance, reported, advance, and P2 FON.</t>
  </si>
  <si>
    <t xml:space="preserve">Districts must complete and submit the form to our office on or before November 1, 2022. </t>
  </si>
  <si>
    <t>Displays the data to calculate the FON for Fall 2022 P2.</t>
  </si>
  <si>
    <t xml:space="preserve">Displays calculations for the average replacement cost for Fall 2022 used on the compliance form.  </t>
  </si>
  <si>
    <t>Full-Time Faculty Obligation Workbook</t>
  </si>
  <si>
    <t>Districts may use the FON estimator to project for R1 funded FTES.</t>
  </si>
  <si>
    <t xml:space="preserve">The Board of Governors, at their November 2021 meeting, fully implemented the FON for Fall 2022.  </t>
  </si>
  <si>
    <t>FS 21-06 2021-22 Full-Time Faculty Hiring Allocations and Notification of Intent to Hire</t>
  </si>
  <si>
    <t xml:space="preserve">When the budget act provides new full-time faculty hiring funds, the FON increases by the total district allocation divided by the current statewide average cost to replace a part-time faculty position with a fulltime faculty position. The 2020-21 statewide average replacement cost was $86,771. Each district’s FON is increased by one for each $86,771 allocated, in addition to the annual adjustment for funded credit FTES. Current regulations require an increase to a district’s FON for 1) annual percentage change in funded credit FTES, and 2) provision of funds to hire new full-time faculty. </t>
  </si>
  <si>
    <t>*The FON is increased per regulation by the amount of the allocation divided by the 2020-21 statewide average replacement cost of $86,771.</t>
  </si>
  <si>
    <t>F.</t>
  </si>
  <si>
    <t>G.</t>
  </si>
  <si>
    <t>Replacement Cost (C-F)(rounded to whole dollars)</t>
  </si>
  <si>
    <t>PT Benefits (calculated)</t>
  </si>
  <si>
    <t>FT Benefit (calculated)</t>
  </si>
  <si>
    <t>G=(A+B)-(D+E)</t>
  </si>
  <si>
    <r>
      <t xml:space="preserve">To the extent that the required number of full-time faculty has </t>
    </r>
    <r>
      <rPr>
        <b/>
        <u/>
        <sz val="11"/>
        <color theme="1"/>
        <rFont val="Source Sans Pro"/>
        <family val="2"/>
      </rPr>
      <t>not</t>
    </r>
    <r>
      <rPr>
        <sz val="11"/>
        <color theme="1"/>
        <rFont val="Source Sans Pro"/>
        <family val="2"/>
      </rPr>
      <t xml:space="preserve"> been retained for a fiscal year, the Chancellor is required to reduced a district's revenue for the </t>
    </r>
  </si>
  <si>
    <t>fiscal year by an amount equal to the average replacement cost for the fiscal year multiplied by the deficiency in the line VI (negative amount).</t>
  </si>
  <si>
    <t>à</t>
  </si>
  <si>
    <t>For any assistance with the FON workbook, please contact: 
Jubilee Smallwood at jsmallwood@cccco.edu.</t>
  </si>
  <si>
    <t>661-336-5138</t>
  </si>
  <si>
    <t xml:space="preserve">Anna Gonzalez, HR Specialist </t>
  </si>
  <si>
    <t>annagonz@kccd.edu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</si>
</sst>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409]mmmm\ d\,\ yyyy;@"/>
    <numFmt numFmtId="166" formatCode="0.0%"/>
    <numFmt numFmtId="167" formatCode="0.0"/>
    <numFmt numFmtId="168" formatCode="_([$$-409]* #,##0.00_);_([$$-409]* \(#,##0.00\);_([$$-409]* &quot;-&quot;??_);_(@_)"/>
    <numFmt numFmtId="169" formatCode="_(&quot;$&quot;* #,##0_);_(&quot;$&quot;* \(#,##0\);_(&quot;$&quot;* &quot;-&quot;??_);_(@_)"/>
    <numFmt numFmtId="170" formatCode="[&lt;=9999999]###\-####;\(###\)\ ###\-####"/>
    <numFmt numFmtId="171" formatCode="0.0000%"/>
    <numFmt numFmtId="172" formatCode="#,##0.0"/>
    <numFmt numFmtId="173" formatCode="_(* #,##0.00_);_(* \(#,##0.00\);_(* &quot;-&quot;_);_(@_)"/>
  </numFmts>
  <fonts count="34">
    <font>
      <sz val="11"/>
      <color theme="1"/>
      <name val="Calibri"/>
      <family val="2"/>
      <scheme val="minor"/>
    </font>
    <font>
      <sz val="11"/>
      <color theme="1"/>
      <name val="Calibri"/>
      <family val="2"/>
      <scheme val="minor"/>
    </font>
    <font>
      <sz val="18"/>
      <color theme="3"/>
      <name val="Calibri Light"/>
      <family val="2"/>
      <scheme val="major"/>
    </font>
    <font>
      <sz val="11"/>
      <color rgb="FF3F3F76"/>
      <name val="Calibri"/>
      <family val="2"/>
      <scheme val="minor"/>
    </font>
    <font>
      <sz val="11"/>
      <color theme="1"/>
      <name val="Source Sans Pro"/>
      <family val="2"/>
    </font>
    <font>
      <sz val="10"/>
      <name val="Arial"/>
      <family val="2"/>
    </font>
    <font>
      <b/>
      <sz val="11"/>
      <color theme="1"/>
      <name val="Source Sans Pro"/>
      <family val="2"/>
    </font>
    <font>
      <sz val="14"/>
      <color theme="1"/>
      <name val="Source Sans Pro"/>
      <family val="2"/>
    </font>
    <font>
      <sz val="12"/>
      <color theme="1"/>
      <name val="Source Sans Pro"/>
      <family val="2"/>
    </font>
    <font>
      <sz val="11"/>
      <color rgb="FF002F6D"/>
      <name val="Source Sans Pro"/>
      <family val="2"/>
    </font>
    <font>
      <b/>
      <u/>
      <sz val="11"/>
      <color theme="1"/>
      <name val="Source Sans Pro"/>
      <family val="2"/>
    </font>
    <font>
      <sz val="11"/>
      <color rgb="FF002F6D"/>
      <name val="Wingdings"/>
      <charset val="2"/>
    </font>
    <font>
      <i/>
      <sz val="11"/>
      <color theme="1"/>
      <name val="Source Sans Pro"/>
      <family val="2"/>
    </font>
    <font>
      <b/>
      <sz val="14"/>
      <color rgb="FF002F6D"/>
      <name val="Source Sans Pro"/>
      <family val="2"/>
    </font>
    <font>
      <sz val="11"/>
      <name val="Source Sans Pro"/>
      <family val="2"/>
    </font>
    <font>
      <b/>
      <sz val="11"/>
      <name val="Source Sans Pro"/>
      <family val="2"/>
    </font>
    <font>
      <b/>
      <sz val="15"/>
      <color rgb="FF002F6D"/>
      <name val="Crimson"/>
      <family val="1"/>
    </font>
    <font>
      <b/>
      <sz val="11"/>
      <color theme="0"/>
      <name val="Source Sans Pro"/>
      <family val="2"/>
    </font>
    <font>
      <b/>
      <sz val="14"/>
      <color theme="1"/>
      <name val="Crimson"/>
      <family val="1"/>
    </font>
    <font>
      <b/>
      <sz val="11"/>
      <color theme="3"/>
      <name val="Calibri"/>
      <family val="2"/>
      <scheme val="minor"/>
    </font>
    <font>
      <i/>
      <sz val="11"/>
      <color rgb="FF7F7F7F"/>
      <name val="Calibri"/>
      <family val="2"/>
      <scheme val="minor"/>
    </font>
    <font>
      <b/>
      <sz val="11"/>
      <color theme="1"/>
      <name val="Calibri"/>
      <family val="2"/>
      <scheme val="minor"/>
    </font>
    <font>
      <sz val="11"/>
      <color theme="4" tint="-0.249977111117893"/>
      <name val="Calibri"/>
      <family val="2"/>
      <scheme val="minor"/>
    </font>
    <font>
      <i/>
      <sz val="11"/>
      <color theme="1"/>
      <name val="Calibri"/>
      <family val="2"/>
      <scheme val="minor"/>
    </font>
    <font>
      <sz val="11"/>
      <color theme="3"/>
      <name val="Calibri"/>
      <family val="2"/>
      <scheme val="minor"/>
    </font>
    <font>
      <u/>
      <sz val="18"/>
      <color theme="3"/>
      <name val="Calibri Light"/>
      <family val="2"/>
      <scheme val="major"/>
    </font>
    <font>
      <sz val="11"/>
      <color rgb="FFFF0000"/>
      <name val="Source Sans Pro"/>
      <family val="2"/>
    </font>
    <font>
      <i/>
      <sz val="11"/>
      <name val="Calibri"/>
      <family val="2"/>
      <scheme val="minor"/>
    </font>
    <font>
      <b/>
      <sz val="16"/>
      <color theme="1"/>
      <name val="Calibri"/>
      <family val="2"/>
      <scheme val="minor"/>
    </font>
    <font>
      <b/>
      <sz val="11"/>
      <color theme="0"/>
      <name val="Calibri"/>
      <family val="2"/>
      <scheme val="minor"/>
    </font>
    <font>
      <sz val="11"/>
      <name val="Source Sans Pro"/>
      <family val="2"/>
    </font>
    <font>
      <sz val="11"/>
      <color rgb="FFC00000"/>
      <name val="Source Sans Pro"/>
      <family val="2"/>
    </font>
    <font>
      <u/>
      <sz val="11"/>
      <color theme="10"/>
      <name val="Calibri"/>
      <family val="2"/>
      <scheme val="minor"/>
    </font>
    <font>
      <sz val="11"/>
      <color rgb="FFC00000"/>
      <name val="Wingdings"/>
      <charset val="2"/>
    </font>
  </fonts>
  <fills count="10">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rgb="FF0066BA"/>
        <bgColor indexed="64"/>
      </patternFill>
    </fill>
    <fill>
      <patternFill patternType="solid">
        <fgColor theme="2"/>
        <bgColor indexed="64"/>
      </patternFill>
    </fill>
    <fill>
      <patternFill patternType="solid">
        <fgColor theme="6" tint="0.79998168889431442"/>
        <bgColor theme="6" tint="0.79998168889431442"/>
      </patternFill>
    </fill>
    <fill>
      <patternFill patternType="solid">
        <fgColor theme="4" tint="0.79998168889431442"/>
        <bgColor theme="4" tint="0.79998168889431442"/>
      </patternFill>
    </fill>
    <fill>
      <patternFill patternType="solid">
        <fgColor theme="4"/>
        <bgColor theme="4"/>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double">
        <color indexed="64"/>
      </bottom>
      <diagonal/>
    </border>
    <border>
      <left/>
      <right/>
      <top/>
      <bottom style="thin">
        <color auto="1"/>
      </bottom>
      <diagonal/>
    </border>
    <border>
      <left/>
      <right/>
      <top style="dashed">
        <color auto="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style="thin">
        <color theme="4" tint="0.39994506668294322"/>
      </right>
      <top style="thin">
        <color theme="4" tint="0.39994506668294322"/>
      </top>
      <bottom style="thin">
        <color theme="4" tint="0.39994506668294322"/>
      </bottom>
      <diagonal/>
    </border>
    <border>
      <left/>
      <right style="thin">
        <color theme="4" tint="0.39997558519241921"/>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theme="4" tint="0.39997558519241921"/>
      </left>
      <right/>
      <top style="thin">
        <color theme="4" tint="0.39994506668294322"/>
      </top>
      <bottom style="thin">
        <color theme="4" tint="0.39994506668294322"/>
      </bottom>
      <diagonal/>
    </border>
    <border>
      <left/>
      <right style="thin">
        <color theme="4" tint="0.39994506668294322"/>
      </right>
      <top style="thin">
        <color theme="4"/>
      </top>
      <bottom style="thin">
        <color theme="4" tint="0.39994506668294322"/>
      </bottom>
      <diagonal/>
    </border>
    <border>
      <left/>
      <right style="thin">
        <color theme="4" tint="0.39997558519241921"/>
      </right>
      <top style="thin">
        <color theme="4"/>
      </top>
      <bottom style="thin">
        <color theme="4" tint="0.39994506668294322"/>
      </bottom>
      <diagonal/>
    </border>
    <border>
      <left/>
      <right/>
      <top style="thin">
        <color theme="4"/>
      </top>
      <bottom style="thin">
        <color theme="4" tint="0.39994506668294322"/>
      </bottom>
      <diagonal/>
    </border>
    <border>
      <left style="thin">
        <color theme="4" tint="0.39997558519241921"/>
      </left>
      <right/>
      <top style="thin">
        <color theme="4"/>
      </top>
      <bottom style="thin">
        <color theme="4" tint="0.39994506668294322"/>
      </bottom>
      <diagonal/>
    </border>
    <border>
      <left/>
      <right/>
      <top style="thin">
        <color theme="4"/>
      </top>
      <bottom/>
      <diagonal/>
    </border>
    <border>
      <left/>
      <right style="thin">
        <color theme="4" tint="0.39997558519241921"/>
      </right>
      <top style="thin">
        <color theme="4"/>
      </top>
      <bottom/>
      <diagonal/>
    </border>
    <border>
      <left style="thin">
        <color theme="4" tint="0.39997558519241921"/>
      </left>
      <right/>
      <top style="thin">
        <color theme="4"/>
      </top>
      <bottom/>
      <diagonal/>
    </border>
    <border>
      <left style="thin">
        <color rgb="FF7F7F7F"/>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indexed="64"/>
      </top>
      <bottom style="thick">
        <color indexed="64"/>
      </bottom>
      <diagonal/>
    </border>
    <border>
      <left/>
      <right style="thick">
        <color auto="1"/>
      </right>
      <top style="thick">
        <color auto="1"/>
      </top>
      <bottom style="thick">
        <color auto="1"/>
      </bottom>
      <diagonal/>
    </border>
    <border>
      <left style="medium">
        <color indexed="64"/>
      </left>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2" borderId="1" applyNumberFormat="0" applyAlignment="0" applyProtection="0"/>
    <xf numFmtId="0" fontId="5" fillId="0" borderId="0"/>
    <xf numFmtId="0" fontId="19" fillId="0" borderId="20"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2" fillId="0" borderId="0" applyNumberFormat="0" applyFill="0" applyBorder="0" applyAlignment="0" applyProtection="0"/>
  </cellStyleXfs>
  <cellXfs count="195">
    <xf numFmtId="0" fontId="0" fillId="0" borderId="0" xfId="0"/>
    <xf numFmtId="0" fontId="0" fillId="0" borderId="0" xfId="0" applyAlignment="1">
      <alignment horizontal="right"/>
    </xf>
    <xf numFmtId="43" fontId="0" fillId="0" borderId="0" xfId="1" applyFont="1"/>
    <xf numFmtId="164" fontId="9" fillId="4" borderId="2" xfId="1" applyNumberFormat="1" applyFont="1" applyFill="1" applyBorder="1" applyProtection="1">
      <protection locked="0"/>
    </xf>
    <xf numFmtId="164" fontId="9" fillId="4" borderId="6" xfId="1" applyNumberFormat="1" applyFont="1" applyFill="1" applyBorder="1" applyProtection="1">
      <protection locked="0"/>
    </xf>
    <xf numFmtId="0" fontId="4" fillId="3" borderId="0" xfId="0" applyFont="1" applyFill="1" applyProtection="1">
      <protection locked="0"/>
    </xf>
    <xf numFmtId="0" fontId="4" fillId="3" borderId="9" xfId="0" applyFont="1" applyFill="1" applyBorder="1" applyProtection="1">
      <protection locked="0"/>
    </xf>
    <xf numFmtId="0" fontId="4" fillId="3" borderId="4" xfId="0" applyFont="1" applyFill="1" applyBorder="1" applyAlignment="1" applyProtection="1">
      <alignment horizontal="right"/>
      <protection locked="0"/>
    </xf>
    <xf numFmtId="0" fontId="4" fillId="4" borderId="0" xfId="0" applyFont="1" applyFill="1" applyProtection="1"/>
    <xf numFmtId="0" fontId="10" fillId="4" borderId="0" xfId="0" applyFont="1" applyFill="1" applyProtection="1"/>
    <xf numFmtId="0" fontId="4" fillId="3" borderId="0" xfId="0" applyFont="1" applyFill="1" applyProtection="1"/>
    <xf numFmtId="0" fontId="6" fillId="3" borderId="0" xfId="0" applyFont="1" applyFill="1" applyProtection="1"/>
    <xf numFmtId="0" fontId="11" fillId="4" borderId="0" xfId="0" applyFont="1" applyFill="1" applyProtection="1"/>
    <xf numFmtId="0" fontId="4" fillId="3" borderId="0" xfId="0" applyFont="1" applyFill="1" applyAlignment="1" applyProtection="1">
      <alignment horizontal="right"/>
    </xf>
    <xf numFmtId="0" fontId="4" fillId="3" borderId="0" xfId="0" applyFont="1" applyFill="1" applyAlignment="1" applyProtection="1">
      <alignment horizontal="left" indent="1"/>
    </xf>
    <xf numFmtId="164" fontId="4" fillId="3" borderId="7" xfId="1" applyNumberFormat="1" applyFont="1" applyFill="1" applyBorder="1" applyProtection="1"/>
    <xf numFmtId="0" fontId="4" fillId="4" borderId="0" xfId="0" quotePrefix="1" applyFont="1" applyFill="1" applyAlignment="1" applyProtection="1">
      <alignment horizontal="center"/>
    </xf>
    <xf numFmtId="0" fontId="4" fillId="4" borderId="0" xfId="0" quotePrefix="1" applyFont="1" applyFill="1" applyProtection="1"/>
    <xf numFmtId="166" fontId="4" fillId="3" borderId="8" xfId="5" applyNumberFormat="1" applyFont="1" applyFill="1" applyBorder="1" applyProtection="1"/>
    <xf numFmtId="167" fontId="4" fillId="3" borderId="5" xfId="0" applyNumberFormat="1" applyFont="1" applyFill="1" applyBorder="1" applyProtection="1"/>
    <xf numFmtId="164" fontId="14" fillId="3" borderId="5" xfId="0" applyNumberFormat="1" applyFont="1" applyFill="1" applyBorder="1" applyProtection="1"/>
    <xf numFmtId="0" fontId="4" fillId="3" borderId="0" xfId="0" quotePrefix="1" applyFont="1" applyFill="1" applyAlignment="1" applyProtection="1">
      <alignment horizontal="left" indent="1"/>
    </xf>
    <xf numFmtId="0" fontId="4" fillId="3" borderId="0" xfId="0" applyFont="1" applyFill="1" applyBorder="1" applyProtection="1"/>
    <xf numFmtId="42" fontId="8" fillId="3" borderId="8" xfId="4" applyFont="1" applyFill="1" applyBorder="1" applyAlignment="1" applyProtection="1"/>
    <xf numFmtId="0" fontId="6" fillId="3" borderId="9" xfId="0" applyFont="1" applyFill="1" applyBorder="1" applyProtection="1"/>
    <xf numFmtId="0" fontId="4" fillId="3" borderId="9" xfId="0" applyFont="1" applyFill="1" applyBorder="1" applyProtection="1"/>
    <xf numFmtId="0" fontId="4" fillId="3" borderId="0" xfId="0" applyFont="1" applyFill="1" applyAlignment="1" applyProtection="1">
      <alignment vertical="top"/>
    </xf>
    <xf numFmtId="0" fontId="7" fillId="4" borderId="0" xfId="0" quotePrefix="1" applyFont="1" applyFill="1" applyAlignment="1" applyProtection="1">
      <alignment horizontal="right"/>
    </xf>
    <xf numFmtId="0" fontId="4" fillId="0" borderId="0" xfId="0" applyFont="1" applyProtection="1">
      <protection locked="0"/>
    </xf>
    <xf numFmtId="0" fontId="4" fillId="0" borderId="0" xfId="0" applyFont="1" applyAlignment="1" applyProtection="1">
      <alignment wrapText="1"/>
      <protection locked="0"/>
    </xf>
    <xf numFmtId="0" fontId="6" fillId="0" borderId="0" xfId="0" applyFont="1" applyAlignment="1" applyProtection="1">
      <alignment vertical="top" wrapText="1"/>
      <protection locked="0"/>
    </xf>
    <xf numFmtId="0" fontId="4" fillId="0" borderId="0" xfId="0" applyFont="1" applyBorder="1" applyAlignment="1" applyProtection="1">
      <alignment vertical="center" wrapText="1"/>
      <protection locked="0"/>
    </xf>
    <xf numFmtId="0" fontId="6"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2" xfId="0" applyFont="1" applyBorder="1" applyAlignment="1" applyProtection="1">
      <alignment horizontal="left" vertical="center" wrapText="1"/>
    </xf>
    <xf numFmtId="0" fontId="6" fillId="0" borderId="2" xfId="0" applyFont="1" applyBorder="1" applyAlignment="1" applyProtection="1">
      <alignment horizontal="left" vertical="top" wrapText="1"/>
    </xf>
    <xf numFmtId="0" fontId="4" fillId="0" borderId="0" xfId="0" applyFont="1" applyProtection="1"/>
    <xf numFmtId="0" fontId="4" fillId="0" borderId="0" xfId="0" applyFont="1" applyAlignment="1" applyProtection="1">
      <alignment horizontal="center"/>
      <protection locked="0"/>
    </xf>
    <xf numFmtId="0" fontId="17" fillId="5" borderId="10" xfId="0" applyFont="1" applyFill="1" applyBorder="1" applyAlignment="1" applyProtection="1">
      <alignment horizontal="center" wrapText="1"/>
    </xf>
    <xf numFmtId="0" fontId="17" fillId="5" borderId="11" xfId="0" applyFont="1" applyFill="1" applyBorder="1" applyAlignment="1" applyProtection="1">
      <alignment horizontal="center" wrapText="1"/>
    </xf>
    <xf numFmtId="0" fontId="17" fillId="5" borderId="11" xfId="0" applyFont="1" applyFill="1" applyBorder="1" applyAlignment="1" applyProtection="1">
      <alignment horizontal="center" vertical="top" wrapText="1"/>
    </xf>
    <xf numFmtId="0" fontId="4" fillId="0" borderId="0" xfId="0" applyFont="1" applyAlignment="1" applyProtection="1">
      <alignment horizontal="center"/>
    </xf>
    <xf numFmtId="0" fontId="4" fillId="0" borderId="0" xfId="0" applyFont="1"/>
    <xf numFmtId="0" fontId="4" fillId="0" borderId="0" xfId="0" applyFont="1" applyAlignment="1">
      <alignment horizontal="right"/>
    </xf>
    <xf numFmtId="0" fontId="4" fillId="0" borderId="0" xfId="0" applyFont="1" applyBorder="1"/>
    <xf numFmtId="0" fontId="4" fillId="0" borderId="0" xfId="0" applyFont="1" applyBorder="1" applyAlignment="1">
      <alignment horizontal="right"/>
    </xf>
    <xf numFmtId="4" fontId="4" fillId="6" borderId="0" xfId="0" applyNumberFormat="1" applyFont="1" applyFill="1" applyBorder="1" applyAlignment="1" applyProtection="1">
      <alignment horizontal="right"/>
    </xf>
    <xf numFmtId="0" fontId="4" fillId="6" borderId="0" xfId="0" applyFont="1" applyFill="1" applyBorder="1" applyProtection="1"/>
    <xf numFmtId="0" fontId="4" fillId="6" borderId="0" xfId="0" applyFont="1" applyFill="1" applyBorder="1" applyAlignment="1" applyProtection="1">
      <alignment horizontal="right"/>
    </xf>
    <xf numFmtId="10" fontId="4" fillId="6" borderId="0" xfId="5" applyNumberFormat="1" applyFont="1" applyFill="1" applyBorder="1" applyAlignment="1" applyProtection="1">
      <alignment horizontal="right"/>
    </xf>
    <xf numFmtId="39" fontId="4" fillId="6" borderId="0" xfId="1" applyNumberFormat="1" applyFont="1" applyFill="1" applyBorder="1" applyAlignment="1" applyProtection="1">
      <alignment horizontal="right"/>
    </xf>
    <xf numFmtId="10" fontId="4" fillId="6" borderId="0" xfId="0" applyNumberFormat="1" applyFont="1" applyFill="1" applyBorder="1" applyAlignment="1" applyProtection="1">
      <alignment horizontal="right"/>
    </xf>
    <xf numFmtId="4" fontId="4" fillId="6" borderId="0" xfId="1" applyNumberFormat="1" applyFont="1" applyFill="1" applyBorder="1" applyAlignment="1" applyProtection="1">
      <alignment horizontal="right"/>
    </xf>
    <xf numFmtId="0" fontId="6" fillId="6" borderId="0" xfId="0" applyFont="1" applyFill="1" applyBorder="1" applyProtection="1"/>
    <xf numFmtId="171" fontId="3" fillId="2" borderId="1" xfId="7" applyNumberFormat="1" applyAlignment="1" applyProtection="1">
      <alignment horizontal="right"/>
      <protection locked="0"/>
    </xf>
    <xf numFmtId="39" fontId="3" fillId="2" borderId="1" xfId="7" applyNumberFormat="1" applyAlignment="1" applyProtection="1">
      <alignment horizontal="right"/>
      <protection locked="0"/>
    </xf>
    <xf numFmtId="0" fontId="4" fillId="3" borderId="0" xfId="0" applyFont="1" applyFill="1" applyBorder="1" applyProtection="1">
      <protection locked="0"/>
    </xf>
    <xf numFmtId="0" fontId="4" fillId="3" borderId="0" xfId="0" applyFont="1" applyFill="1" applyBorder="1"/>
    <xf numFmtId="0" fontId="4" fillId="0" borderId="0" xfId="0" applyFont="1" applyFill="1"/>
    <xf numFmtId="0" fontId="6" fillId="0" borderId="0" xfId="0" applyFont="1" applyFill="1"/>
    <xf numFmtId="0" fontId="6" fillId="0" borderId="0" xfId="0" applyFont="1" applyAlignment="1">
      <alignment horizontal="center" wrapText="1"/>
    </xf>
    <xf numFmtId="164" fontId="14" fillId="0" borderId="0" xfId="0" applyNumberFormat="1" applyFont="1" applyFill="1" applyBorder="1"/>
    <xf numFmtId="166" fontId="4" fillId="0" borderId="0" xfId="5" applyNumberFormat="1" applyFont="1"/>
    <xf numFmtId="41" fontId="14" fillId="7" borderId="0" xfId="0" applyNumberFormat="1" applyFont="1" applyFill="1" applyBorder="1"/>
    <xf numFmtId="10" fontId="14" fillId="7" borderId="0" xfId="5" applyNumberFormat="1" applyFont="1" applyFill="1" applyBorder="1"/>
    <xf numFmtId="4" fontId="14" fillId="7" borderId="0" xfId="0" applyNumberFormat="1" applyFont="1" applyFill="1" applyBorder="1" applyProtection="1"/>
    <xf numFmtId="171" fontId="14" fillId="0" borderId="0" xfId="5" applyNumberFormat="1" applyFont="1" applyFill="1" applyBorder="1" applyProtection="1"/>
    <xf numFmtId="4" fontId="14" fillId="0" borderId="0" xfId="0" applyNumberFormat="1" applyFont="1" applyFill="1" applyBorder="1" applyProtection="1"/>
    <xf numFmtId="43" fontId="14" fillId="7" borderId="0" xfId="0" applyNumberFormat="1" applyFont="1" applyFill="1" applyBorder="1"/>
    <xf numFmtId="172" fontId="14" fillId="7" borderId="0" xfId="0" applyNumberFormat="1" applyFont="1" applyFill="1" applyBorder="1"/>
    <xf numFmtId="3" fontId="14" fillId="7" borderId="16" xfId="0" applyNumberFormat="1" applyFont="1" applyFill="1" applyBorder="1"/>
    <xf numFmtId="41" fontId="14" fillId="0" borderId="0" xfId="0" applyNumberFormat="1" applyFont="1" applyBorder="1"/>
    <xf numFmtId="10" fontId="14" fillId="0" borderId="0" xfId="5" applyNumberFormat="1" applyFont="1" applyBorder="1"/>
    <xf numFmtId="4" fontId="14" fillId="0" borderId="0" xfId="0" applyNumberFormat="1" applyFont="1" applyBorder="1" applyProtection="1"/>
    <xf numFmtId="43" fontId="14" fillId="0" borderId="0" xfId="0" applyNumberFormat="1" applyFont="1" applyBorder="1"/>
    <xf numFmtId="172" fontId="14" fillId="0" borderId="0" xfId="0" applyNumberFormat="1" applyFont="1" applyBorder="1"/>
    <xf numFmtId="3" fontId="14" fillId="0" borderId="16" xfId="0" applyNumberFormat="1" applyFont="1" applyBorder="1"/>
    <xf numFmtId="0" fontId="18" fillId="0" borderId="0" xfId="0" applyFont="1" applyFill="1"/>
    <xf numFmtId="41" fontId="22" fillId="8" borderId="21" xfId="2" applyNumberFormat="1" applyFont="1" applyFill="1" applyBorder="1" applyAlignment="1">
      <alignment horizontal="center"/>
    </xf>
    <xf numFmtId="41" fontId="22" fillId="8" borderId="22" xfId="2" applyNumberFormat="1" applyFont="1" applyFill="1" applyBorder="1" applyAlignment="1">
      <alignment horizontal="center"/>
    </xf>
    <xf numFmtId="41" fontId="22" fillId="8" borderId="23" xfId="2" applyNumberFormat="1" applyFont="1" applyFill="1" applyBorder="1" applyAlignment="1">
      <alignment horizontal="center"/>
    </xf>
    <xf numFmtId="0" fontId="22" fillId="8" borderId="23" xfId="0" applyFont="1" applyFill="1" applyBorder="1" applyAlignment="1">
      <alignment horizontal="center"/>
    </xf>
    <xf numFmtId="0" fontId="22" fillId="8" borderId="24" xfId="0" applyFont="1" applyFill="1" applyBorder="1" applyAlignment="1">
      <alignment horizontal="center"/>
    </xf>
    <xf numFmtId="41" fontId="22" fillId="0" borderId="21" xfId="2" applyNumberFormat="1" applyFont="1" applyBorder="1" applyAlignment="1">
      <alignment horizontal="center"/>
    </xf>
    <xf numFmtId="41" fontId="22" fillId="0" borderId="22" xfId="2" applyNumberFormat="1" applyFont="1" applyBorder="1" applyAlignment="1">
      <alignment horizontal="center"/>
    </xf>
    <xf numFmtId="41" fontId="22" fillId="0" borderId="23" xfId="2" applyNumberFormat="1" applyFont="1" applyBorder="1" applyAlignment="1">
      <alignment horizontal="center"/>
    </xf>
    <xf numFmtId="0" fontId="22" fillId="0" borderId="23" xfId="0" applyFont="1" applyBorder="1" applyAlignment="1">
      <alignment horizontal="center"/>
    </xf>
    <xf numFmtId="0" fontId="22" fillId="0" borderId="24" xfId="0" applyFont="1" applyBorder="1" applyAlignment="1">
      <alignment horizontal="center"/>
    </xf>
    <xf numFmtId="42" fontId="22" fillId="8" borderId="25" xfId="4" applyNumberFormat="1" applyFont="1" applyFill="1" applyBorder="1" applyAlignment="1">
      <alignment horizontal="center"/>
    </xf>
    <xf numFmtId="42" fontId="22" fillId="8" borderId="26" xfId="4" applyNumberFormat="1" applyFont="1" applyFill="1" applyBorder="1" applyAlignment="1">
      <alignment horizontal="center"/>
    </xf>
    <xf numFmtId="42" fontId="22" fillId="8" borderId="27" xfId="4" applyNumberFormat="1" applyFont="1" applyFill="1" applyBorder="1" applyAlignment="1">
      <alignment horizontal="center"/>
    </xf>
    <xf numFmtId="0" fontId="22" fillId="8" borderId="27" xfId="0" applyFont="1" applyFill="1" applyBorder="1" applyAlignment="1">
      <alignment horizontal="center"/>
    </xf>
    <xf numFmtId="0" fontId="22" fillId="8" borderId="28" xfId="0" applyFont="1" applyFill="1" applyBorder="1" applyAlignment="1">
      <alignment horizontal="center"/>
    </xf>
    <xf numFmtId="168" fontId="0" fillId="0" borderId="3" xfId="1" applyNumberFormat="1" applyFont="1" applyBorder="1"/>
    <xf numFmtId="0" fontId="21" fillId="0" borderId="0" xfId="0" quotePrefix="1" applyFont="1" applyAlignment="1">
      <alignment horizontal="right"/>
    </xf>
    <xf numFmtId="0" fontId="21" fillId="0" borderId="0" xfId="0" applyFont="1" applyAlignment="1">
      <alignment horizontal="right"/>
    </xf>
    <xf numFmtId="43" fontId="0" fillId="0" borderId="8" xfId="0" applyNumberFormat="1" applyBorder="1"/>
    <xf numFmtId="43" fontId="0" fillId="0" borderId="0" xfId="0" applyNumberFormat="1"/>
    <xf numFmtId="43" fontId="0" fillId="0" borderId="0" xfId="1" applyNumberFormat="1" applyFont="1"/>
    <xf numFmtId="168" fontId="3" fillId="2" borderId="1" xfId="7" applyNumberFormat="1"/>
    <xf numFmtId="0" fontId="21" fillId="0" borderId="0" xfId="0" applyFont="1"/>
    <xf numFmtId="43" fontId="0" fillId="0" borderId="0" xfId="1" applyFont="1" applyBorder="1"/>
    <xf numFmtId="43" fontId="3" fillId="2" borderId="1" xfId="7" applyNumberFormat="1"/>
    <xf numFmtId="0" fontId="21" fillId="0" borderId="0" xfId="0" applyFont="1" applyAlignment="1">
      <alignment horizontal="left" vertical="top" wrapText="1"/>
    </xf>
    <xf numFmtId="0" fontId="21" fillId="0" borderId="0" xfId="0" applyFont="1" applyAlignment="1">
      <alignment horizontal="center" vertical="top" wrapText="1"/>
    </xf>
    <xf numFmtId="0" fontId="21" fillId="0" borderId="0" xfId="0" applyFont="1" applyAlignment="1">
      <alignment horizontal="left" vertical="top"/>
    </xf>
    <xf numFmtId="0" fontId="17" fillId="5" borderId="33" xfId="0" applyFont="1" applyFill="1" applyBorder="1" applyAlignment="1" applyProtection="1">
      <alignment horizontal="center" vertical="top" wrapText="1"/>
    </xf>
    <xf numFmtId="0" fontId="14" fillId="0" borderId="2" xfId="0" applyFont="1" applyBorder="1" applyAlignment="1" applyProtection="1">
      <alignment horizontal="left" vertical="center" wrapText="1"/>
    </xf>
    <xf numFmtId="0" fontId="15" fillId="0" borderId="0" xfId="0" applyFont="1" applyFill="1"/>
    <xf numFmtId="0" fontId="17" fillId="5" borderId="37" xfId="0" applyFont="1" applyFill="1" applyBorder="1" applyAlignment="1">
      <alignment horizontal="center" wrapText="1"/>
    </xf>
    <xf numFmtId="0" fontId="17" fillId="5" borderId="38" xfId="0" applyFont="1" applyFill="1" applyBorder="1" applyAlignment="1">
      <alignment horizontal="center" wrapText="1"/>
    </xf>
    <xf numFmtId="166" fontId="17" fillId="5" borderId="38" xfId="5" applyNumberFormat="1" applyFont="1" applyFill="1" applyBorder="1" applyAlignment="1">
      <alignment horizontal="center" wrapText="1"/>
    </xf>
    <xf numFmtId="0" fontId="17" fillId="5" borderId="39" xfId="0" applyFont="1" applyFill="1" applyBorder="1" applyAlignment="1">
      <alignment horizontal="center" wrapText="1"/>
    </xf>
    <xf numFmtId="173" fontId="14" fillId="7" borderId="0" xfId="0" applyNumberFormat="1" applyFont="1" applyFill="1" applyBorder="1"/>
    <xf numFmtId="3" fontId="14" fillId="7" borderId="0" xfId="0" applyNumberFormat="1" applyFont="1" applyFill="1" applyBorder="1"/>
    <xf numFmtId="167" fontId="14" fillId="0" borderId="0" xfId="0" applyNumberFormat="1" applyFont="1"/>
    <xf numFmtId="3" fontId="14" fillId="0" borderId="0" xfId="0" applyNumberFormat="1" applyFont="1" applyBorder="1"/>
    <xf numFmtId="167" fontId="14" fillId="0" borderId="0" xfId="0" applyNumberFormat="1" applyFont="1" applyFill="1"/>
    <xf numFmtId="167" fontId="14" fillId="0" borderId="0" xfId="0" applyNumberFormat="1" applyFont="1" applyBorder="1"/>
    <xf numFmtId="0" fontId="27" fillId="0" borderId="0" xfId="11" applyFont="1" applyAlignment="1"/>
    <xf numFmtId="0" fontId="20" fillId="0" borderId="0" xfId="11" applyFill="1"/>
    <xf numFmtId="0" fontId="20" fillId="0" borderId="0" xfId="11"/>
    <xf numFmtId="0" fontId="29" fillId="9" borderId="29" xfId="10" applyFont="1" applyFill="1" applyBorder="1" applyAlignment="1">
      <alignment horizontal="center"/>
    </xf>
    <xf numFmtId="0" fontId="29" fillId="9" borderId="29" xfId="10" applyFont="1" applyFill="1" applyBorder="1" applyAlignment="1">
      <alignment horizontal="center" wrapText="1"/>
    </xf>
    <xf numFmtId="0" fontId="29" fillId="9" borderId="30" xfId="10" applyFont="1" applyFill="1" applyBorder="1" applyAlignment="1">
      <alignment horizontal="center" wrapText="1"/>
    </xf>
    <xf numFmtId="0" fontId="21" fillId="0" borderId="0" xfId="0" quotePrefix="1" applyFont="1" applyAlignment="1">
      <alignment horizontal="center"/>
    </xf>
    <xf numFmtId="0" fontId="29" fillId="9" borderId="31" xfId="10" applyFont="1" applyFill="1" applyBorder="1" applyAlignment="1">
      <alignment horizontal="center" wrapText="1"/>
    </xf>
    <xf numFmtId="43" fontId="0" fillId="0" borderId="5" xfId="1" applyNumberFormat="1" applyFont="1" applyBorder="1"/>
    <xf numFmtId="0" fontId="4" fillId="4" borderId="0" xfId="0" applyFont="1" applyFill="1" applyAlignment="1" applyProtection="1">
      <alignment vertical="top"/>
    </xf>
    <xf numFmtId="0" fontId="4" fillId="4" borderId="0" xfId="0" applyFont="1" applyFill="1" applyAlignment="1" applyProtection="1">
      <alignment vertical="center"/>
    </xf>
    <xf numFmtId="3" fontId="14" fillId="0" borderId="0" xfId="0" applyNumberFormat="1" applyFont="1" applyFill="1" applyBorder="1"/>
    <xf numFmtId="0" fontId="30" fillId="0" borderId="4" xfId="0" applyFont="1" applyFill="1" applyBorder="1"/>
    <xf numFmtId="164" fontId="30" fillId="0" borderId="4" xfId="0" applyNumberFormat="1" applyFont="1" applyFill="1" applyBorder="1"/>
    <xf numFmtId="0" fontId="17" fillId="5" borderId="42" xfId="0" applyFont="1" applyFill="1" applyBorder="1" applyAlignment="1">
      <alignment horizontal="center" wrapText="1"/>
    </xf>
    <xf numFmtId="0" fontId="17" fillId="5" borderId="43" xfId="0" applyFont="1" applyFill="1" applyBorder="1" applyAlignment="1">
      <alignment horizontal="center" wrapText="1"/>
    </xf>
    <xf numFmtId="0" fontId="17" fillId="5" borderId="41" xfId="0" applyFont="1" applyFill="1" applyBorder="1" applyAlignment="1">
      <alignment horizontal="center" wrapText="1"/>
    </xf>
    <xf numFmtId="0" fontId="16" fillId="3" borderId="0" xfId="0" applyFont="1" applyFill="1" applyAlignment="1" applyProtection="1">
      <alignment horizontal="center"/>
    </xf>
    <xf numFmtId="0" fontId="30" fillId="0" borderId="40" xfId="0" applyFont="1" applyBorder="1"/>
    <xf numFmtId="172" fontId="30" fillId="0" borderId="38" xfId="0" applyNumberFormat="1" applyFont="1" applyBorder="1"/>
    <xf numFmtId="43" fontId="30" fillId="0" borderId="38" xfId="0" applyNumberFormat="1" applyFont="1" applyBorder="1"/>
    <xf numFmtId="4" fontId="30" fillId="0" borderId="38" xfId="0" applyNumberFormat="1" applyFont="1" applyFill="1" applyBorder="1" applyProtection="1"/>
    <xf numFmtId="171" fontId="30" fillId="0" borderId="38" xfId="0" applyNumberFormat="1" applyFont="1" applyFill="1" applyBorder="1" applyAlignment="1" applyProtection="1">
      <alignment horizontal="right"/>
    </xf>
    <xf numFmtId="4" fontId="30" fillId="0" borderId="38" xfId="0" applyNumberFormat="1" applyFont="1" applyBorder="1" applyProtection="1"/>
    <xf numFmtId="41" fontId="30" fillId="0" borderId="38" xfId="0" applyNumberFormat="1" applyFont="1" applyBorder="1"/>
    <xf numFmtId="10" fontId="30" fillId="0" borderId="38" xfId="0" applyNumberFormat="1" applyFont="1" applyBorder="1"/>
    <xf numFmtId="3" fontId="30" fillId="0" borderId="38" xfId="0" applyNumberFormat="1" applyFont="1" applyBorder="1"/>
    <xf numFmtId="0" fontId="16" fillId="3" borderId="0" xfId="0" applyFont="1" applyFill="1" applyAlignment="1" applyProtection="1"/>
    <xf numFmtId="0" fontId="17" fillId="5" borderId="44" xfId="0" applyFont="1" applyFill="1" applyBorder="1" applyAlignment="1" applyProtection="1">
      <alignment horizontal="center" vertical="top" wrapText="1"/>
    </xf>
    <xf numFmtId="0" fontId="17" fillId="5" borderId="34" xfId="0" applyFont="1" applyFill="1" applyBorder="1" applyAlignment="1" applyProtection="1">
      <alignment horizontal="center" vertical="top" wrapText="1"/>
    </xf>
    <xf numFmtId="0" fontId="32" fillId="0" borderId="2" xfId="12" applyBorder="1" applyAlignment="1" applyProtection="1">
      <alignment horizontal="left" vertical="top" wrapText="1"/>
    </xf>
    <xf numFmtId="0" fontId="32" fillId="0" borderId="2" xfId="12" applyBorder="1"/>
    <xf numFmtId="0" fontId="32" fillId="0" borderId="2" xfId="12" applyBorder="1" applyAlignment="1" applyProtection="1">
      <alignment horizontal="left" vertical="center" wrapText="1"/>
    </xf>
    <xf numFmtId="0" fontId="33" fillId="4" borderId="0" xfId="0" applyFont="1" applyFill="1" applyProtection="1"/>
    <xf numFmtId="0" fontId="33" fillId="4" borderId="0" xfId="0" applyFont="1" applyFill="1" applyAlignment="1" applyProtection="1">
      <alignment vertical="center"/>
    </xf>
    <xf numFmtId="0" fontId="0" fillId="0" borderId="45" xfId="0" applyBorder="1" applyAlignment="1">
      <alignment horizontal="left" wrapText="1"/>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16" fillId="3" borderId="0" xfId="0" applyFont="1" applyFill="1" applyAlignment="1" applyProtection="1">
      <alignment horizontal="center"/>
    </xf>
    <xf numFmtId="165" fontId="4" fillId="3" borderId="8" xfId="0" applyNumberFormat="1" applyFont="1" applyFill="1" applyBorder="1" applyAlignment="1" applyProtection="1">
      <alignment horizontal="left"/>
      <protection locked="0"/>
    </xf>
    <xf numFmtId="0" fontId="4" fillId="3" borderId="0" xfId="0" applyFont="1" applyFill="1" applyAlignment="1" applyProtection="1">
      <alignment horizontal="right" wrapText="1"/>
    </xf>
    <xf numFmtId="0" fontId="4" fillId="3" borderId="5" xfId="0" applyFont="1" applyFill="1" applyBorder="1" applyAlignment="1" applyProtection="1">
      <alignment horizontal="left"/>
      <protection locked="0"/>
    </xf>
    <xf numFmtId="0" fontId="4" fillId="3" borderId="8" xfId="0" applyFont="1" applyFill="1" applyBorder="1" applyAlignment="1" applyProtection="1">
      <alignment horizontal="left"/>
      <protection locked="0"/>
    </xf>
    <xf numFmtId="0" fontId="32" fillId="3" borderId="5" xfId="12" applyFill="1" applyBorder="1" applyAlignment="1" applyProtection="1">
      <alignment horizontal="left"/>
      <protection locked="0"/>
    </xf>
    <xf numFmtId="169" fontId="8" fillId="3" borderId="8" xfId="3" applyNumberFormat="1" applyFont="1" applyFill="1" applyBorder="1" applyAlignment="1" applyProtection="1">
      <alignment horizontal="right"/>
    </xf>
    <xf numFmtId="169" fontId="8" fillId="3" borderId="5" xfId="3" applyNumberFormat="1" applyFont="1" applyFill="1" applyBorder="1" applyAlignment="1" applyProtection="1">
      <alignment horizontal="right"/>
    </xf>
    <xf numFmtId="0" fontId="4" fillId="3" borderId="0" xfId="0" applyFont="1" applyFill="1" applyAlignment="1" applyProtection="1">
      <alignment horizontal="left" vertical="top" wrapText="1"/>
    </xf>
    <xf numFmtId="0" fontId="4" fillId="3" borderId="0" xfId="0" applyFont="1" applyFill="1" applyAlignment="1" applyProtection="1">
      <alignment horizontal="left" vertical="top"/>
    </xf>
    <xf numFmtId="0" fontId="4" fillId="3" borderId="0" xfId="0" applyFont="1" applyFill="1" applyAlignment="1" applyProtection="1">
      <alignment horizontal="left" wrapText="1"/>
    </xf>
    <xf numFmtId="0" fontId="13" fillId="4" borderId="2" xfId="0" applyFont="1" applyFill="1" applyBorder="1" applyAlignment="1" applyProtection="1">
      <alignment horizontal="center"/>
      <protection locked="0"/>
    </xf>
    <xf numFmtId="0" fontId="15" fillId="3" borderId="8" xfId="0" applyFont="1" applyFill="1" applyBorder="1" applyAlignment="1" applyProtection="1">
      <alignment horizontal="center"/>
    </xf>
    <xf numFmtId="170" fontId="4" fillId="0" borderId="8" xfId="0" applyNumberFormat="1" applyFont="1" applyFill="1" applyBorder="1" applyAlignment="1" applyProtection="1">
      <alignment horizontal="left"/>
      <protection locked="0"/>
    </xf>
    <xf numFmtId="0" fontId="6" fillId="0" borderId="34" xfId="0" applyFont="1" applyBorder="1" applyAlignment="1" applyProtection="1">
      <alignment horizontal="center" vertical="top" wrapText="1"/>
    </xf>
    <xf numFmtId="0" fontId="6" fillId="0" borderId="35" xfId="0" applyFont="1" applyBorder="1" applyAlignment="1" applyProtection="1">
      <alignment horizontal="center" vertical="top" wrapText="1"/>
    </xf>
    <xf numFmtId="0" fontId="6" fillId="0" borderId="36" xfId="0" applyFont="1" applyBorder="1" applyAlignment="1" applyProtection="1">
      <alignment horizontal="center" vertical="top" wrapText="1"/>
    </xf>
    <xf numFmtId="0" fontId="18" fillId="0" borderId="13" xfId="0" applyFont="1" applyBorder="1" applyAlignment="1" applyProtection="1">
      <alignment horizontal="left" vertical="center" wrapText="1"/>
    </xf>
    <xf numFmtId="0" fontId="19" fillId="0" borderId="0" xfId="9" applyBorder="1" applyAlignment="1">
      <alignment horizontal="center"/>
    </xf>
    <xf numFmtId="0" fontId="23" fillId="0" borderId="16" xfId="0" applyFont="1" applyBorder="1" applyAlignment="1">
      <alignment horizontal="center" wrapText="1"/>
    </xf>
    <xf numFmtId="0" fontId="23" fillId="0" borderId="0" xfId="0" applyFont="1" applyBorder="1" applyAlignment="1">
      <alignment horizontal="center" wrapText="1"/>
    </xf>
    <xf numFmtId="0" fontId="23" fillId="0" borderId="18" xfId="0" applyFont="1" applyBorder="1" applyAlignment="1">
      <alignment horizontal="center" wrapText="1"/>
    </xf>
    <xf numFmtId="0" fontId="23" fillId="0" borderId="13" xfId="0" applyFont="1" applyBorder="1" applyAlignment="1">
      <alignment horizontal="center" wrapText="1"/>
    </xf>
    <xf numFmtId="0" fontId="0" fillId="0" borderId="32" xfId="0" applyBorder="1" applyAlignment="1">
      <alignment horizontal="center" vertical="top" wrapText="1"/>
    </xf>
    <xf numFmtId="0" fontId="0" fillId="0" borderId="0" xfId="0" applyBorder="1" applyAlignment="1">
      <alignment horizontal="center" vertical="top" wrapText="1"/>
    </xf>
    <xf numFmtId="0" fontId="21" fillId="0" borderId="14" xfId="0" applyFont="1" applyBorder="1" applyAlignment="1">
      <alignment horizontal="left" indent="1"/>
    </xf>
    <xf numFmtId="0" fontId="21" fillId="0" borderId="12" xfId="0" applyFont="1" applyBorder="1" applyAlignment="1">
      <alignment horizontal="left" indent="1"/>
    </xf>
    <xf numFmtId="0" fontId="21" fillId="0" borderId="15" xfId="0" applyFont="1" applyBorder="1" applyAlignment="1">
      <alignment horizontal="left" indent="1"/>
    </xf>
    <xf numFmtId="0" fontId="25" fillId="0" borderId="0" xfId="6" applyFont="1" applyAlignment="1">
      <alignment horizontal="center"/>
    </xf>
    <xf numFmtId="0" fontId="28" fillId="0" borderId="0" xfId="0" applyFont="1" applyAlignment="1">
      <alignment horizontal="center" wrapText="1"/>
    </xf>
    <xf numFmtId="0" fontId="0" fillId="0" borderId="0" xfId="0" applyAlignment="1">
      <alignment horizontal="left" wrapText="1"/>
    </xf>
    <xf numFmtId="14" fontId="24" fillId="0" borderId="0" xfId="6" quotePrefix="1" applyNumberFormat="1" applyFont="1" applyAlignment="1">
      <alignment horizontal="left"/>
    </xf>
    <xf numFmtId="0" fontId="0" fillId="0" borderId="0" xfId="0" applyAlignment="1">
      <alignment horizontal="left" vertical="top" wrapText="1"/>
    </xf>
    <xf numFmtId="0" fontId="23" fillId="0" borderId="17" xfId="0" applyFont="1" applyBorder="1" applyAlignment="1">
      <alignment horizontal="center" wrapText="1"/>
    </xf>
    <xf numFmtId="0" fontId="23" fillId="0" borderId="19" xfId="0" applyFont="1" applyBorder="1" applyAlignment="1">
      <alignment horizontal="center" wrapText="1"/>
    </xf>
    <xf numFmtId="0" fontId="23" fillId="0" borderId="0" xfId="0" applyFont="1" applyBorder="1" applyAlignment="1">
      <alignment horizontal="center"/>
    </xf>
    <xf numFmtId="0" fontId="23" fillId="0" borderId="17" xfId="0" applyFont="1" applyBorder="1" applyAlignment="1">
      <alignment horizontal="center"/>
    </xf>
  </cellXfs>
  <cellStyles count="13">
    <cellStyle name="Comma" xfId="1" builtinId="3"/>
    <cellStyle name="Comma [0]" xfId="2" builtinId="6"/>
    <cellStyle name="Currency" xfId="3" builtinId="4"/>
    <cellStyle name="Currency [0]" xfId="4" builtinId="7"/>
    <cellStyle name="Explanatory Text" xfId="11" builtinId="53"/>
    <cellStyle name="Heading 3" xfId="9" builtinId="18"/>
    <cellStyle name="Heading 4" xfId="10" builtinId="19"/>
    <cellStyle name="Hyperlink" xfId="12" builtinId="8"/>
    <cellStyle name="Input" xfId="7" builtinId="20"/>
    <cellStyle name="Normal" xfId="0" builtinId="0"/>
    <cellStyle name="Normal 5" xfId="8"/>
    <cellStyle name="Percent" xfId="5" builtinId="5"/>
    <cellStyle name="Title" xfId="6" builtinId="15"/>
  </cellStyles>
  <dxfs count="42">
    <dxf>
      <font>
        <b val="0"/>
        <i val="0"/>
        <strike val="0"/>
        <condense val="0"/>
        <extend val="0"/>
        <outline val="0"/>
        <shadow val="0"/>
        <u val="none"/>
        <vertAlign val="baseline"/>
        <sz val="11"/>
        <color auto="1"/>
        <name val="Source Sans Pro"/>
        <scheme val="none"/>
      </font>
      <numFmt numFmtId="172" formatCode="#,##0.0"/>
      <border diagonalUp="0" diagonalDown="0" outline="0">
        <left/>
        <right/>
        <top style="thick">
          <color indexed="64"/>
        </top>
        <bottom style="thick">
          <color indexed="64"/>
        </bottom>
      </border>
    </dxf>
    <dxf>
      <numFmt numFmtId="167" formatCode="0.0"/>
    </dxf>
    <dxf>
      <font>
        <b val="0"/>
        <i val="0"/>
        <strike val="0"/>
        <condense val="0"/>
        <extend val="0"/>
        <outline val="0"/>
        <shadow val="0"/>
        <u val="none"/>
        <vertAlign val="baseline"/>
        <sz val="11"/>
        <color auto="1"/>
        <name val="Source Sans Pro"/>
        <scheme val="none"/>
      </font>
      <numFmt numFmtId="3" formatCode="#,##0"/>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3" formatCode="#,##0"/>
    </dxf>
    <dxf>
      <font>
        <b val="0"/>
        <i val="0"/>
        <strike val="0"/>
        <condense val="0"/>
        <extend val="0"/>
        <outline val="0"/>
        <shadow val="0"/>
        <u val="none"/>
        <vertAlign val="baseline"/>
        <sz val="11"/>
        <color auto="1"/>
        <name val="Source Sans Pro"/>
        <scheme val="none"/>
      </font>
      <numFmt numFmtId="33" formatCode="_(* #,##0_);_(* \(#,##0\);_(* &quot;-&quot;_);_(@_)"/>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33" formatCode="_(* #,##0_);_(* \(#,##0\);_(* &quot;-&quot;_);_(@_)"/>
    </dxf>
    <dxf>
      <font>
        <b val="0"/>
        <i val="0"/>
        <strike val="0"/>
        <condense val="0"/>
        <extend val="0"/>
        <outline val="0"/>
        <shadow val="0"/>
        <u val="none"/>
        <vertAlign val="baseline"/>
        <sz val="11"/>
        <color auto="1"/>
        <name val="Source Sans Pro"/>
        <scheme val="none"/>
      </font>
      <numFmt numFmtId="14" formatCode="0.00%"/>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14" formatCode="0.00%"/>
    </dxf>
    <dxf>
      <font>
        <b val="0"/>
        <i val="0"/>
        <strike val="0"/>
        <condense val="0"/>
        <extend val="0"/>
        <outline val="0"/>
        <shadow val="0"/>
        <u val="none"/>
        <vertAlign val="baseline"/>
        <sz val="11"/>
        <color auto="1"/>
        <name val="Source Sans Pro"/>
        <scheme val="none"/>
      </font>
      <numFmt numFmtId="33" formatCode="_(* #,##0_);_(* \(#,##0\);_(* &quot;-&quot;_);_(@_)"/>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33" formatCode="_(* #,##0_);_(* \(#,##0\);_(* &quot;-&quot;_);_(@_)"/>
    </dxf>
    <dxf>
      <font>
        <b val="0"/>
        <i val="0"/>
        <strike val="0"/>
        <condense val="0"/>
        <extend val="0"/>
        <outline val="0"/>
        <shadow val="0"/>
        <u val="none"/>
        <vertAlign val="baseline"/>
        <sz val="11"/>
        <color auto="1"/>
        <name val="Source Sans Pro"/>
        <scheme val="none"/>
      </font>
      <numFmt numFmtId="4" formatCode="#,##0.00"/>
      <border diagonalUp="0" diagonalDown="0" outline="0">
        <left/>
        <right/>
        <top style="thick">
          <color indexed="64"/>
        </top>
        <bottom style="thick">
          <color indexed="64"/>
        </bottom>
      </border>
      <protection locked="1" hidden="0"/>
    </dxf>
    <dxf>
      <font>
        <b val="0"/>
        <i val="0"/>
        <strike val="0"/>
        <condense val="0"/>
        <extend val="0"/>
        <outline val="0"/>
        <shadow val="0"/>
        <u val="none"/>
        <vertAlign val="baseline"/>
        <sz val="11"/>
        <color auto="1"/>
        <name val="Source Sans Pro"/>
        <scheme val="none"/>
      </font>
      <numFmt numFmtId="3" formatCode="#,##0"/>
      <protection locked="1" hidden="0"/>
    </dxf>
    <dxf>
      <font>
        <b val="0"/>
        <i val="0"/>
        <strike val="0"/>
        <condense val="0"/>
        <extend val="0"/>
        <outline val="0"/>
        <shadow val="0"/>
        <u val="none"/>
        <vertAlign val="baseline"/>
        <sz val="11"/>
        <color auto="1"/>
        <name val="Source Sans Pro"/>
        <scheme val="none"/>
      </font>
      <numFmt numFmtId="171" formatCode="0.0000%"/>
      <fill>
        <patternFill patternType="none">
          <fgColor indexed="64"/>
          <bgColor indexed="65"/>
        </patternFill>
      </fill>
      <alignment horizontal="right" vertical="bottom" textRotation="0" wrapText="0" indent="0" justifyLastLine="0" shrinkToFit="0" readingOrder="0"/>
      <border diagonalUp="0" diagonalDown="0" outline="0">
        <left/>
        <right/>
        <top style="thick">
          <color indexed="64"/>
        </top>
        <bottom style="thick">
          <color indexed="64"/>
        </bottom>
      </border>
      <protection locked="1" hidden="0"/>
    </dxf>
    <dxf>
      <font>
        <b val="0"/>
        <i val="0"/>
        <strike val="0"/>
        <condense val="0"/>
        <extend val="0"/>
        <outline val="0"/>
        <shadow val="0"/>
        <u val="none"/>
        <vertAlign val="baseline"/>
        <sz val="11"/>
        <color auto="1"/>
        <name val="Source Sans Pro"/>
        <scheme val="none"/>
      </font>
      <numFmt numFmtId="4" formatCode="#,##0.00"/>
      <fill>
        <patternFill patternType="none">
          <fgColor indexed="64"/>
          <bgColor indexed="65"/>
        </patternFill>
      </fill>
      <border diagonalUp="0" diagonalDown="0" outline="0">
        <left/>
        <right/>
        <top style="thick">
          <color indexed="64"/>
        </top>
        <bottom style="thick">
          <color indexed="64"/>
        </bottom>
      </border>
      <protection locked="1" hidden="0"/>
    </dxf>
    <dxf>
      <font>
        <b val="0"/>
        <i val="0"/>
        <strike val="0"/>
        <condense val="0"/>
        <extend val="0"/>
        <outline val="0"/>
        <shadow val="0"/>
        <u val="none"/>
        <vertAlign val="baseline"/>
        <sz val="11"/>
        <color auto="1"/>
        <name val="Source Sans Pro"/>
        <scheme val="none"/>
      </font>
      <numFmt numFmtId="4" formatCode="#,##0.00"/>
      <fill>
        <patternFill patternType="none">
          <fgColor indexed="64"/>
          <bgColor auto="1"/>
        </patternFill>
      </fill>
      <protection locked="1" hidden="0"/>
    </dxf>
    <dxf>
      <font>
        <b val="0"/>
        <i val="0"/>
        <strike val="0"/>
        <condense val="0"/>
        <extend val="0"/>
        <outline val="0"/>
        <shadow val="0"/>
        <u val="none"/>
        <vertAlign val="baseline"/>
        <sz val="11"/>
        <color auto="1"/>
        <name val="Source Sans Pro"/>
        <scheme val="none"/>
      </font>
      <numFmt numFmtId="35" formatCode="_(* #,##0.00_);_(* \(#,##0.00\);_(* &quot;-&quot;??_);_(@_)"/>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35" formatCode="_(* #,##0.00_);_(* \(#,##0.00\);_(* &quot;-&quot;??_);_(@_)"/>
    </dxf>
    <dxf>
      <font>
        <b val="0"/>
        <i val="0"/>
        <strike val="0"/>
        <condense val="0"/>
        <extend val="0"/>
        <outline val="0"/>
        <shadow val="0"/>
        <u val="none"/>
        <vertAlign val="baseline"/>
        <sz val="11"/>
        <color auto="1"/>
        <name val="Source Sans Pro"/>
        <scheme val="none"/>
      </font>
      <numFmt numFmtId="172" formatCode="#,##0.0"/>
      <border diagonalUp="0" diagonalDown="0" outline="0">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172" formatCode="#,##0.0"/>
    </dxf>
    <dxf>
      <font>
        <b val="0"/>
        <i val="0"/>
        <strike val="0"/>
        <condense val="0"/>
        <extend val="0"/>
        <outline val="0"/>
        <shadow val="0"/>
        <u val="none"/>
        <vertAlign val="baseline"/>
        <sz val="11"/>
        <color auto="1"/>
        <name val="Source Sans Pro"/>
        <scheme val="none"/>
      </font>
      <border diagonalUp="0" diagonalDown="0" outline="0">
        <left style="medium">
          <color indexed="64"/>
        </left>
        <right/>
        <top style="thick">
          <color indexed="64"/>
        </top>
        <bottom style="thick">
          <color indexed="64"/>
        </bottom>
      </border>
    </dxf>
    <dxf>
      <font>
        <b val="0"/>
        <i val="0"/>
        <strike val="0"/>
        <condense val="0"/>
        <extend val="0"/>
        <outline val="0"/>
        <shadow val="0"/>
        <u val="none"/>
        <vertAlign val="baseline"/>
        <sz val="11"/>
        <color auto="1"/>
        <name val="Source Sans Pro"/>
        <scheme val="none"/>
      </font>
      <numFmt numFmtId="3" formatCode="#,##0"/>
      <border diagonalUp="0" diagonalDown="0">
        <left style="medium">
          <color indexed="64"/>
        </left>
        <right/>
        <top/>
        <bottom/>
        <vertical/>
        <horizontal/>
      </border>
    </dxf>
    <dxf>
      <border>
        <top style="thick">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Source Sans Pro"/>
        <scheme val="none"/>
      </font>
    </dxf>
    <dxf>
      <border>
        <bottom style="thick">
          <color auto="1"/>
        </bottom>
      </border>
    </dxf>
    <dxf>
      <font>
        <b/>
        <i val="0"/>
        <strike val="0"/>
        <condense val="0"/>
        <extend val="0"/>
        <outline val="0"/>
        <shadow val="0"/>
        <u val="none"/>
        <vertAlign val="baseline"/>
        <sz val="11"/>
        <color theme="0"/>
        <name val="Source Sans Pro"/>
        <scheme val="none"/>
      </font>
      <fill>
        <patternFill patternType="solid">
          <fgColor indexed="64"/>
          <bgColor rgb="FF0066BA"/>
        </patternFill>
      </fill>
      <alignment horizontal="center" vertical="bottom"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auto="1"/>
        <name val="Source Sans Pro"/>
        <scheme val="none"/>
      </font>
      <fill>
        <patternFill patternType="none">
          <fgColor indexed="64"/>
          <bgColor indexed="65"/>
        </patternFill>
      </fill>
      <border diagonalUp="0" diagonalDown="0" outline="0">
        <left/>
        <right/>
        <top style="thin">
          <color indexed="64"/>
        </top>
        <bottom/>
      </border>
    </dxf>
    <dxf>
      <border>
        <top style="thin">
          <color rgb="FF000000"/>
        </top>
      </border>
    </dxf>
    <dxf>
      <fill>
        <patternFill patternType="none">
          <fgColor rgb="FF000000"/>
          <bgColor auto="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Source Sans Pro"/>
        <scheme val="none"/>
      </font>
      <fill>
        <patternFill patternType="none">
          <fgColor rgb="FF000000"/>
          <bgColor auto="1"/>
        </patternFill>
      </fill>
    </dxf>
    <dxf>
      <border>
        <bottom style="medium">
          <color indexed="64"/>
        </bottom>
      </border>
    </dxf>
    <dxf>
      <font>
        <b/>
        <i val="0"/>
        <strike val="0"/>
        <condense val="0"/>
        <extend val="0"/>
        <outline val="0"/>
        <shadow val="0"/>
        <u val="none"/>
        <vertAlign val="baseline"/>
        <sz val="11"/>
        <color theme="0"/>
        <name val="Source Sans Pro"/>
        <scheme val="none"/>
      </font>
      <fill>
        <patternFill patternType="solid">
          <fgColor indexed="64"/>
          <bgColor rgb="FF0066BA"/>
        </patternFill>
      </fill>
      <alignment horizontal="center" vertical="bottom" textRotation="0" wrapText="1" indent="0" justifyLastLine="0" shrinkToFit="0" readingOrder="0"/>
      <border diagonalUp="0" diagonalDown="0">
        <left/>
        <right/>
        <top/>
        <bottom/>
        <vertical/>
        <horizontal/>
      </border>
    </dxf>
    <dxf>
      <font>
        <color rgb="FF9C0006"/>
      </font>
    </dxf>
    <dxf>
      <font>
        <color rgb="FF9C0006"/>
      </font>
    </dxf>
    <dxf>
      <font>
        <b val="0"/>
        <i val="0"/>
        <color rgb="FFC00000"/>
      </font>
    </dxf>
  </dxfs>
  <tableStyles count="0" defaultTableStyle="TableStyleMedium2" defaultPivotStyle="PivotStyleLight16"/>
  <colors>
    <mruColors>
      <color rgb="FF002F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2" name="Fall2022FON" displayName="Fall2022FON" ref="B3:G76" totalsRowCount="1" headerRowDxfId="38" dataDxfId="36" totalsRowDxfId="34" headerRowBorderDxfId="37" tableBorderDxfId="35" totalsRowBorderDxfId="33">
  <tableColumns count="6">
    <tableColumn id="1" name="District" totalsRowLabel="Statewide Total" totalsRowDxfId="32"/>
    <tableColumn id="6" name="Fall 2021_x000a_Compliance FON" totalsRowFunction="sum" totalsRowDxfId="31"/>
    <tableColumn id="10" name="Fall 2021_x000a_Reported FON" totalsRowFunction="sum" totalsRowDxfId="30"/>
    <tableColumn id="7" name="Fall 2022_x000a_Advance FON" totalsRowFunction="sum" totalsRowDxfId="29"/>
    <tableColumn id="2" name="Fall 2022 _x000a_P2 FON" totalsRowFunction="sum" dataDxfId="28" totalsRowDxfId="27"/>
    <tableColumn id="9" name="Fall 2022_x000a_Compliance FON" totalsRowFunction="sum" totalsRowDxfId="26">
      <calculatedColumnFormula>IF(Fall2022FON[[#This Row],[Fall 2022
Advance FON]]&gt;Fall2022FON[[#This Row],[Fall 2022 
P2 FON]],Fall2022FON[[#This Row],[Fall 2022 
P2 FON]],Fall2022FON[[#This Row],[Fall 2022
Advance FON]])</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3" name="Fall_FON_Calculations" displayName="Fall_FON_Calculations" ref="B3:L76" totalsRowCount="1" headerRowDxfId="25" dataDxfId="23" headerRowBorderDxfId="24" tableBorderDxfId="22" totalsRowBorderDxfId="21">
  <autoFilter ref="B3:L75"/>
  <tableColumns count="11">
    <tableColumn id="1" name="District" totalsRowLabel="Statewide Total" dataDxfId="20" totalsRowDxfId="19"/>
    <tableColumn id="2" name="Base FON:_x000a_2020-21 R1 FON_x000a_(a)" totalsRowFunction="sum" dataDxfId="18" totalsRowDxfId="17"/>
    <tableColumn id="3" name="Base Credit FTES: _x000a_2020-21 R1 Funded Credit FTES_x000a_(b)" totalsRowFunction="sum" dataDxfId="16" totalsRowDxfId="15"/>
    <tableColumn id="4" name="Funded Credit FTES:_x000a_2021-22 P2 Funded Credit FTES_x000a_(c )" totalsRowFunction="sum" dataDxfId="14" totalsRowDxfId="13"/>
    <tableColumn id="5" name="Deficit Percentage:_x000a_2021-22  P2_x000a_(d)" totalsRowLabel="0.0000%" totalsRowDxfId="12" dataCellStyle="Percent"/>
    <tableColumn id="6" name="Funded Credit FTES adjusted for Deficit Percentage_x000a_(e = c*(1-d))" totalsRowFunction="sum" dataDxfId="11" totalsRowDxfId="10">
      <calculatedColumnFormula>'Fall 2022 P2 FON Calculation'!$E4*(1-'Fall 2022 P2 FON Calculation'!$F4)</calculatedColumnFormula>
    </tableColumn>
    <tableColumn id="7" name="Change in FTES _x000a_Growth (Decline)_x000a_(f = e-b)" totalsRowFunction="sum" dataDxfId="9" totalsRowDxfId="8">
      <calculatedColumnFormula>G4-D4</calculatedColumnFormula>
    </tableColumn>
    <tableColumn id="8" name="Percent Change _x000a_(Change in FTES/Base Credit FTES)_x000a_(g = f/b)" totalsRowFunction="custom" dataDxfId="7" totalsRowDxfId="6" dataCellStyle="Percent">
      <calculatedColumnFormula>H4/D4</calculatedColumnFormula>
      <totalsRowFormula>H76/D76</totalsRowFormula>
    </tableColumn>
    <tableColumn id="9" name="FTES Adjustment_x000a_(h = a*g)" totalsRowFunction="sum" dataDxfId="5" totalsRowDxfId="4">
      <calculatedColumnFormula>IF(C4*I4&gt;=0,ROUNDDOWN(C4*I4,0),ROUNDUP(C4*I4,0))</calculatedColumnFormula>
    </tableColumn>
    <tableColumn id="11" name="Increase due to 2021-22 Full-Time Faculty Funds_x000a_(See Fiscal Memo FS 21-06)* _x000a_(i)" totalsRowFunction="sum" dataDxfId="3" totalsRowDxfId="2"/>
    <tableColumn id="12" name="Fall 2022 P2 FON_x000a_(j = a + h + i )" totalsRowFunction="sum" dataDxfId="1" totalsRowDxfId="0">
      <calculatedColumnFormula>Fall_FON_Calculations[[#This Row],[Base FON:
2020-21 R1 FON
(a)]]+Fall_FON_Calculations[[#This Row],[FTES Adjustment
(h = a*g)]]+Fall_FON_Calculations[[#This Row],[Increase due to 2021-22 Full-Time Faculty Funds
(See Fiscal Memo FS 21-06)* 
(i)]]</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nnagonz@kccd.ed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ccco.edu/-/media/CCCCO-Website/College-Finance-and-Facilities/Fiscal-Memos/Fiscal-Memos/2021/fs-21-06-2021-22-full-time-faculty-hiring-funds-a11y.pdf?la=en&amp;hash=F59E98D8670CD986A674493DDFAA8C5F7857F3DC"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110" zoomScaleNormal="110" workbookViewId="0">
      <selection activeCell="B15" sqref="B15"/>
    </sheetView>
  </sheetViews>
  <sheetFormatPr defaultRowHeight="14.4"/>
  <cols>
    <col min="1" max="1" width="3" customWidth="1"/>
    <col min="2" max="2" width="33.33203125" customWidth="1"/>
    <col min="3" max="3" width="51.88671875" customWidth="1"/>
  </cols>
  <sheetData>
    <row r="1" spans="1:10" ht="18.600000000000001">
      <c r="A1" s="158" t="s">
        <v>0</v>
      </c>
      <c r="B1" s="158"/>
      <c r="C1" s="158"/>
      <c r="D1" s="136"/>
      <c r="E1" s="136"/>
      <c r="F1" s="136"/>
      <c r="G1" s="136"/>
      <c r="H1" s="136"/>
      <c r="I1" s="136"/>
      <c r="J1" s="136"/>
    </row>
    <row r="2" spans="1:10" ht="18.600000000000001">
      <c r="A2" s="158" t="s">
        <v>267</v>
      </c>
      <c r="B2" s="158"/>
      <c r="C2" s="158"/>
      <c r="D2" s="146"/>
      <c r="E2" s="146"/>
      <c r="F2" s="146"/>
      <c r="G2" s="146"/>
      <c r="H2" s="146"/>
      <c r="I2" s="146"/>
      <c r="J2" s="146"/>
    </row>
    <row r="3" spans="1:10" ht="18.600000000000001">
      <c r="A3" s="158" t="s">
        <v>253</v>
      </c>
      <c r="B3" s="158"/>
      <c r="C3" s="158"/>
      <c r="D3" s="146"/>
      <c r="E3" s="146"/>
      <c r="F3" s="146"/>
      <c r="G3" s="146"/>
      <c r="H3" s="146"/>
      <c r="I3" s="146"/>
      <c r="J3" s="146"/>
    </row>
    <row r="4" spans="1:10" ht="15" thickBot="1">
      <c r="A4" s="10"/>
      <c r="B4" s="10"/>
      <c r="C4" s="10"/>
      <c r="D4" s="10"/>
      <c r="E4" s="10"/>
      <c r="F4" s="10"/>
      <c r="G4" s="10"/>
      <c r="H4" s="10"/>
      <c r="I4" s="10"/>
      <c r="J4" s="10"/>
    </row>
    <row r="5" spans="1:10">
      <c r="B5" s="147" t="s">
        <v>255</v>
      </c>
      <c r="C5" s="148" t="s">
        <v>256</v>
      </c>
    </row>
    <row r="6" spans="1:10" ht="28.8">
      <c r="B6" s="149" t="s">
        <v>254</v>
      </c>
      <c r="C6" s="34" t="s">
        <v>264</v>
      </c>
    </row>
    <row r="7" spans="1:10" ht="28.8">
      <c r="B7" s="149" t="s">
        <v>257</v>
      </c>
      <c r="C7" s="34" t="s">
        <v>261</v>
      </c>
    </row>
    <row r="8" spans="1:10" ht="28.8">
      <c r="B8" s="150" t="s">
        <v>258</v>
      </c>
      <c r="C8" s="34" t="s">
        <v>263</v>
      </c>
    </row>
    <row r="9" spans="1:10">
      <c r="B9" s="149" t="s">
        <v>259</v>
      </c>
      <c r="C9" s="34" t="s">
        <v>265</v>
      </c>
    </row>
    <row r="10" spans="1:10" ht="28.8">
      <c r="B10" s="149" t="s">
        <v>260</v>
      </c>
      <c r="C10" s="107" t="s">
        <v>268</v>
      </c>
    </row>
    <row r="11" spans="1:10" ht="28.8">
      <c r="B11" s="149" t="s">
        <v>180</v>
      </c>
      <c r="C11" s="34" t="s">
        <v>266</v>
      </c>
    </row>
    <row r="12" spans="1:10">
      <c r="B12" s="154" t="s">
        <v>282</v>
      </c>
      <c r="C12" s="155"/>
    </row>
    <row r="13" spans="1:10">
      <c r="B13" s="156"/>
      <c r="C13" s="157"/>
    </row>
  </sheetData>
  <mergeCells count="4">
    <mergeCell ref="B12:C13"/>
    <mergeCell ref="A1:C1"/>
    <mergeCell ref="A2:C2"/>
    <mergeCell ref="A3:C3"/>
  </mergeCells>
  <hyperlinks>
    <hyperlink ref="B11" location="ReplacementCost!A1" display="Replacement Cost"/>
    <hyperlink ref="B10" location="'FON Estimator'!A1" display="FON Estimator "/>
    <hyperlink ref="B9" location="'Fall 2022 P2 FON Calculation'!A1" display="Fall 2022 P2 FON Calculations"/>
    <hyperlink ref="B8" location="'Fall 2022 Compliance FON'!A1" display="Fall 2022 FON Compliance FON"/>
    <hyperlink ref="B6" location="'Fall 2022 FON Compliance Form'!A1" display="Fall 2022 FON Compliance Form "/>
    <hyperlink ref="B7" location="Definitions!A1" display="Definitions"/>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topLeftCell="A13" zoomScaleNormal="100" workbookViewId="0">
      <selection activeCell="H27" sqref="H27:J27"/>
    </sheetView>
  </sheetViews>
  <sheetFormatPr defaultColWidth="9.109375" defaultRowHeight="14.4"/>
  <cols>
    <col min="1" max="1" width="4.6640625" style="8" customWidth="1"/>
    <col min="2" max="2" width="8.6640625" style="8" customWidth="1"/>
    <col min="3" max="3" width="4.88671875" style="8" customWidth="1"/>
    <col min="4" max="4" width="6" style="8" customWidth="1"/>
    <col min="5" max="5" width="10.33203125" style="8" customWidth="1"/>
    <col min="6" max="7" width="9.109375" style="8"/>
    <col min="8" max="8" width="14.109375" style="8" customWidth="1"/>
    <col min="9" max="9" width="9.109375" style="8"/>
    <col min="10" max="10" width="13" style="8" customWidth="1"/>
    <col min="11" max="11" width="4.109375" style="8" customWidth="1"/>
    <col min="12" max="12" width="14.33203125" style="8" customWidth="1"/>
    <col min="13" max="16384" width="9.109375" style="8"/>
  </cols>
  <sheetData>
    <row r="1" spans="1:12" ht="22.2" customHeight="1">
      <c r="A1" s="158" t="s">
        <v>0</v>
      </c>
      <c r="B1" s="158"/>
      <c r="C1" s="158"/>
      <c r="D1" s="158"/>
      <c r="E1" s="158"/>
      <c r="F1" s="158"/>
      <c r="G1" s="158"/>
      <c r="H1" s="158"/>
      <c r="I1" s="158"/>
      <c r="J1" s="158"/>
    </row>
    <row r="2" spans="1:12" ht="22.2" customHeight="1">
      <c r="A2" s="158" t="s">
        <v>1</v>
      </c>
      <c r="B2" s="158"/>
      <c r="C2" s="158"/>
      <c r="D2" s="158"/>
      <c r="E2" s="158"/>
      <c r="F2" s="158"/>
      <c r="G2" s="158"/>
      <c r="H2" s="158"/>
      <c r="I2" s="158"/>
      <c r="J2" s="158"/>
    </row>
    <row r="3" spans="1:12" ht="22.2" customHeight="1">
      <c r="A3" s="158" t="s">
        <v>167</v>
      </c>
      <c r="B3" s="158"/>
      <c r="C3" s="158"/>
      <c r="D3" s="158"/>
      <c r="E3" s="158"/>
      <c r="F3" s="158"/>
      <c r="G3" s="158"/>
      <c r="H3" s="158"/>
      <c r="I3" s="158"/>
      <c r="J3" s="158"/>
      <c r="K3" s="9" t="s">
        <v>100</v>
      </c>
    </row>
    <row r="4" spans="1:12" ht="12" customHeight="1">
      <c r="A4" s="10"/>
      <c r="B4" s="10"/>
      <c r="C4" s="10"/>
      <c r="D4" s="10"/>
      <c r="E4" s="10"/>
      <c r="F4" s="10"/>
      <c r="G4" s="10"/>
      <c r="H4" s="10"/>
      <c r="I4" s="10"/>
      <c r="J4" s="10"/>
    </row>
    <row r="5" spans="1:12" ht="19.5" customHeight="1">
      <c r="A5" s="11" t="s">
        <v>101</v>
      </c>
      <c r="B5" s="10"/>
      <c r="C5" s="10"/>
      <c r="D5" s="10"/>
      <c r="E5" s="10"/>
      <c r="F5" s="10"/>
      <c r="G5" s="10"/>
      <c r="H5" s="169" t="s">
        <v>35</v>
      </c>
      <c r="I5" s="169"/>
      <c r="J5" s="169"/>
      <c r="K5" s="12" t="s">
        <v>105</v>
      </c>
      <c r="L5" s="8" t="s">
        <v>102</v>
      </c>
    </row>
    <row r="6" spans="1:12">
      <c r="A6" s="10"/>
      <c r="B6" s="10"/>
      <c r="C6" s="10"/>
      <c r="D6" s="10"/>
      <c r="E6" s="10"/>
      <c r="F6" s="10"/>
      <c r="G6" s="10"/>
      <c r="H6" s="10"/>
      <c r="I6" s="10"/>
      <c r="J6" s="10"/>
    </row>
    <row r="7" spans="1:12" ht="19.5" customHeight="1">
      <c r="A7" s="13" t="s">
        <v>3</v>
      </c>
      <c r="B7" s="14" t="s">
        <v>4</v>
      </c>
      <c r="C7" s="10"/>
      <c r="D7" s="10"/>
      <c r="E7" s="10"/>
      <c r="F7" s="10"/>
      <c r="G7" s="10"/>
      <c r="H7" s="10"/>
      <c r="I7" s="10"/>
      <c r="J7" s="3">
        <v>490</v>
      </c>
      <c r="K7" s="12" t="s">
        <v>105</v>
      </c>
      <c r="L7" s="8" t="s">
        <v>103</v>
      </c>
    </row>
    <row r="8" spans="1:12" ht="19.5" customHeight="1">
      <c r="A8" s="13" t="s">
        <v>6</v>
      </c>
      <c r="B8" s="14" t="s">
        <v>5</v>
      </c>
      <c r="C8" s="10"/>
      <c r="D8" s="10"/>
      <c r="E8" s="10"/>
      <c r="F8" s="10"/>
      <c r="G8" s="10"/>
      <c r="H8" s="10"/>
      <c r="I8" s="10"/>
      <c r="J8" s="4">
        <v>253.07</v>
      </c>
      <c r="K8" s="12" t="s">
        <v>105</v>
      </c>
      <c r="L8" s="8" t="s">
        <v>104</v>
      </c>
    </row>
    <row r="9" spans="1:12" ht="19.5" customHeight="1" thickBot="1">
      <c r="A9" s="13" t="s">
        <v>7</v>
      </c>
      <c r="B9" s="14" t="s">
        <v>8</v>
      </c>
      <c r="C9" s="10"/>
      <c r="D9" s="10"/>
      <c r="E9" s="10"/>
      <c r="F9" s="10"/>
      <c r="G9" s="10"/>
      <c r="H9" s="10"/>
      <c r="I9" s="10"/>
      <c r="J9" s="15">
        <f>J7+J8</f>
        <v>743.06999999999994</v>
      </c>
      <c r="K9" s="16" t="s">
        <v>107</v>
      </c>
      <c r="L9" s="17" t="s">
        <v>106</v>
      </c>
    </row>
    <row r="10" spans="1:12" ht="24" customHeight="1" thickTop="1">
      <c r="A10" s="13" t="s">
        <v>9</v>
      </c>
      <c r="B10" s="14" t="s">
        <v>10</v>
      </c>
      <c r="C10" s="10"/>
      <c r="D10" s="10"/>
      <c r="E10" s="10"/>
      <c r="F10" s="10"/>
      <c r="G10" s="10"/>
      <c r="H10" s="10"/>
      <c r="I10" s="10"/>
      <c r="J10" s="18">
        <f>IFERROR($J$7/$J$9,0)</f>
        <v>0.65942643357960895</v>
      </c>
      <c r="K10" s="16" t="s">
        <v>107</v>
      </c>
      <c r="L10" s="17" t="s">
        <v>240</v>
      </c>
    </row>
    <row r="11" spans="1:12" ht="24" customHeight="1">
      <c r="A11" s="13" t="s">
        <v>11</v>
      </c>
      <c r="B11" s="14" t="s">
        <v>171</v>
      </c>
      <c r="C11" s="10"/>
      <c r="D11" s="10"/>
      <c r="E11" s="10"/>
      <c r="F11" s="10"/>
      <c r="G11" s="10"/>
      <c r="H11" s="10"/>
      <c r="I11" s="10"/>
      <c r="J11" s="19">
        <f>IFERROR(VLOOKUP(H5,Fall2022FON[],6,FALSE),0)</f>
        <v>457.78919999999999</v>
      </c>
      <c r="K11" s="16" t="s">
        <v>107</v>
      </c>
      <c r="L11" s="8" t="s">
        <v>172</v>
      </c>
    </row>
    <row r="12" spans="1:12" ht="19.5" customHeight="1">
      <c r="A12" s="13" t="s">
        <v>12</v>
      </c>
      <c r="B12" s="14" t="s">
        <v>244</v>
      </c>
      <c r="C12" s="10"/>
      <c r="D12" s="10"/>
      <c r="E12" s="10"/>
      <c r="F12" s="10"/>
      <c r="G12" s="10"/>
      <c r="H12" s="10"/>
      <c r="I12" s="10"/>
      <c r="J12" s="20">
        <f>$J$7-$J$11</f>
        <v>32.210800000000006</v>
      </c>
      <c r="K12" s="16" t="s">
        <v>107</v>
      </c>
      <c r="L12" s="8" t="s">
        <v>243</v>
      </c>
    </row>
    <row r="13" spans="1:12">
      <c r="A13" s="10"/>
      <c r="B13" s="10"/>
      <c r="C13" s="10"/>
      <c r="D13" s="10"/>
      <c r="E13" s="10"/>
      <c r="F13" s="10"/>
      <c r="G13" s="10"/>
      <c r="H13" s="10"/>
      <c r="I13" s="10"/>
      <c r="J13" s="10"/>
    </row>
    <row r="14" spans="1:12">
      <c r="A14" s="11" t="s">
        <v>168</v>
      </c>
      <c r="B14" s="10"/>
      <c r="C14" s="10"/>
      <c r="D14" s="10"/>
      <c r="E14" s="10"/>
      <c r="F14" s="10"/>
      <c r="G14" s="10"/>
      <c r="H14" s="10"/>
      <c r="I14" s="10"/>
      <c r="J14" s="10"/>
      <c r="K14" s="152" t="s">
        <v>281</v>
      </c>
      <c r="L14" s="128" t="s">
        <v>279</v>
      </c>
    </row>
    <row r="15" spans="1:12">
      <c r="A15" s="166" t="s">
        <v>269</v>
      </c>
      <c r="B15" s="167"/>
      <c r="C15" s="167"/>
      <c r="D15" s="167"/>
      <c r="E15" s="167"/>
      <c r="F15" s="167"/>
      <c r="G15" s="167"/>
      <c r="H15" s="167"/>
      <c r="I15" s="167"/>
      <c r="J15" s="167"/>
      <c r="K15" s="16"/>
      <c r="L15" s="128" t="s">
        <v>280</v>
      </c>
    </row>
    <row r="16" spans="1:12" ht="19.5" customHeight="1">
      <c r="A16" s="13"/>
      <c r="B16" s="21" t="s">
        <v>235</v>
      </c>
      <c r="C16" s="10"/>
      <c r="D16" s="10"/>
      <c r="E16" s="10"/>
      <c r="F16" s="10"/>
      <c r="G16" s="10"/>
      <c r="H16" s="10"/>
      <c r="I16" s="170" t="str">
        <f>IF(J12&gt;=0,"In Compliance","Noncompliant")</f>
        <v>In Compliance</v>
      </c>
      <c r="J16" s="170"/>
      <c r="K16" s="16" t="s">
        <v>107</v>
      </c>
      <c r="L16" s="8" t="s">
        <v>108</v>
      </c>
    </row>
    <row r="17" spans="1:12">
      <c r="A17" s="10"/>
      <c r="B17" s="10"/>
      <c r="C17" s="10"/>
      <c r="D17" s="10"/>
      <c r="E17" s="10"/>
      <c r="F17" s="10"/>
      <c r="G17" s="10"/>
      <c r="H17" s="10"/>
      <c r="I17" s="10"/>
      <c r="J17" s="10"/>
    </row>
    <row r="18" spans="1:12">
      <c r="A18" s="11" t="s">
        <v>13</v>
      </c>
      <c r="B18" s="10"/>
      <c r="C18" s="10"/>
      <c r="D18" s="10"/>
      <c r="E18" s="10"/>
      <c r="F18" s="10"/>
      <c r="G18" s="10"/>
      <c r="H18" s="10"/>
      <c r="I18" s="10"/>
      <c r="J18" s="10"/>
    </row>
    <row r="19" spans="1:12" ht="37.5" customHeight="1">
      <c r="A19" s="166" t="s">
        <v>236</v>
      </c>
      <c r="B19" s="166"/>
      <c r="C19" s="166"/>
      <c r="D19" s="166"/>
      <c r="E19" s="166"/>
      <c r="F19" s="166"/>
      <c r="G19" s="166"/>
      <c r="H19" s="166"/>
      <c r="I19" s="166"/>
      <c r="J19" s="166"/>
      <c r="K19" s="153" t="s">
        <v>281</v>
      </c>
      <c r="L19" s="129" t="s">
        <v>247</v>
      </c>
    </row>
    <row r="20" spans="1:12" ht="15.6">
      <c r="A20" s="13" t="s">
        <v>241</v>
      </c>
      <c r="B20" s="10" t="s">
        <v>248</v>
      </c>
      <c r="C20" s="10"/>
      <c r="D20" s="10"/>
      <c r="E20" s="10"/>
      <c r="F20" s="10"/>
      <c r="G20" s="10"/>
      <c r="H20" s="10"/>
      <c r="I20" s="22"/>
      <c r="J20" s="23">
        <f>ReplacementCost!B33</f>
        <v>87151</v>
      </c>
      <c r="K20" s="16" t="s">
        <v>107</v>
      </c>
      <c r="L20" s="128" t="s">
        <v>109</v>
      </c>
    </row>
    <row r="21" spans="1:12" ht="19.5" customHeight="1">
      <c r="A21" s="13" t="s">
        <v>242</v>
      </c>
      <c r="B21" s="10" t="s">
        <v>169</v>
      </c>
      <c r="C21" s="10"/>
      <c r="D21" s="10"/>
      <c r="E21" s="10"/>
      <c r="F21" s="10"/>
      <c r="G21" s="10"/>
      <c r="H21" s="10"/>
      <c r="I21" s="164">
        <f>-(IF($I$16= "Noncompliant",(ROUND(J12*J20,0)),0))</f>
        <v>0</v>
      </c>
      <c r="J21" s="165"/>
      <c r="K21" s="16" t="s">
        <v>107</v>
      </c>
      <c r="L21" s="8" t="s">
        <v>245</v>
      </c>
    </row>
    <row r="22" spans="1:12" ht="14.1" customHeight="1">
      <c r="A22" s="168"/>
      <c r="B22" s="168"/>
      <c r="C22" s="168"/>
      <c r="D22" s="168"/>
      <c r="E22" s="168"/>
      <c r="F22" s="168"/>
      <c r="G22" s="168"/>
      <c r="H22" s="168"/>
      <c r="I22" s="168"/>
      <c r="J22" s="168"/>
    </row>
    <row r="23" spans="1:12" ht="14.1" customHeight="1">
      <c r="A23" s="10"/>
      <c r="B23" s="10"/>
      <c r="C23" s="10"/>
      <c r="D23" s="10"/>
      <c r="E23" s="10"/>
      <c r="F23" s="10"/>
      <c r="G23" s="10"/>
      <c r="H23" s="10"/>
      <c r="I23" s="10"/>
      <c r="J23" s="10"/>
    </row>
    <row r="24" spans="1:12">
      <c r="A24" s="11" t="s">
        <v>170</v>
      </c>
      <c r="B24" s="10"/>
      <c r="C24" s="10"/>
      <c r="D24" s="10"/>
      <c r="E24" s="10"/>
      <c r="F24" s="10"/>
      <c r="G24" s="10"/>
      <c r="H24" s="10"/>
      <c r="I24" s="10"/>
      <c r="J24" s="10"/>
    </row>
    <row r="25" spans="1:12" ht="20.25" customHeight="1">
      <c r="A25" s="11" t="s">
        <v>94</v>
      </c>
      <c r="B25" s="10"/>
      <c r="C25" s="10"/>
      <c r="D25" s="10"/>
      <c r="E25" s="10"/>
      <c r="F25" s="10"/>
      <c r="G25" s="10"/>
      <c r="H25" s="10"/>
      <c r="I25" s="10"/>
      <c r="J25" s="10"/>
    </row>
    <row r="26" spans="1:12" ht="18.75" customHeight="1">
      <c r="A26" s="10"/>
      <c r="B26" s="13" t="s">
        <v>99</v>
      </c>
      <c r="C26" s="162" t="s">
        <v>284</v>
      </c>
      <c r="D26" s="162"/>
      <c r="E26" s="162"/>
      <c r="F26" s="162"/>
      <c r="G26" s="162"/>
      <c r="H26" s="162"/>
      <c r="I26" s="5"/>
      <c r="J26" s="5"/>
    </row>
    <row r="27" spans="1:12" ht="19.5" customHeight="1">
      <c r="A27" s="10"/>
      <c r="B27" s="13" t="s">
        <v>96</v>
      </c>
      <c r="C27" s="163" t="s">
        <v>285</v>
      </c>
      <c r="D27" s="161"/>
      <c r="E27" s="161"/>
      <c r="F27" s="161"/>
      <c r="G27" s="5" t="s">
        <v>246</v>
      </c>
      <c r="H27" s="171" t="s">
        <v>283</v>
      </c>
      <c r="I27" s="171"/>
      <c r="J27" s="171"/>
    </row>
    <row r="28" spans="1:12">
      <c r="A28" s="10"/>
      <c r="B28" s="10"/>
      <c r="C28" s="5"/>
      <c r="D28" s="5"/>
      <c r="E28" s="5"/>
      <c r="F28" s="5"/>
      <c r="G28" s="5"/>
      <c r="H28" s="5"/>
      <c r="I28" s="5"/>
      <c r="J28" s="5"/>
    </row>
    <row r="29" spans="1:12" ht="22.5" customHeight="1">
      <c r="A29" s="24" t="s">
        <v>97</v>
      </c>
      <c r="B29" s="25"/>
      <c r="C29" s="6"/>
      <c r="D29" s="6"/>
      <c r="E29" s="6"/>
      <c r="F29" s="6"/>
      <c r="G29" s="6"/>
      <c r="H29" s="6"/>
      <c r="I29" s="6"/>
      <c r="J29" s="6"/>
    </row>
    <row r="30" spans="1:12">
      <c r="A30" s="26" t="s">
        <v>98</v>
      </c>
      <c r="B30" s="10"/>
      <c r="C30" s="5"/>
      <c r="D30" s="5"/>
      <c r="E30" s="5"/>
      <c r="F30" s="5"/>
      <c r="G30" s="5"/>
      <c r="H30" s="5"/>
      <c r="I30" s="5"/>
      <c r="J30" s="5"/>
    </row>
    <row r="31" spans="1:12" ht="38.25" customHeight="1">
      <c r="A31" s="160" t="s">
        <v>111</v>
      </c>
      <c r="B31" s="160"/>
      <c r="C31" s="162"/>
      <c r="D31" s="162"/>
      <c r="E31" s="162"/>
      <c r="F31" s="162"/>
      <c r="G31" s="162"/>
      <c r="H31" s="162"/>
      <c r="I31" s="5"/>
      <c r="J31" s="5"/>
      <c r="K31" s="27" t="s">
        <v>112</v>
      </c>
      <c r="L31" s="8" t="s">
        <v>113</v>
      </c>
    </row>
    <row r="32" spans="1:12" ht="18.75" customHeight="1">
      <c r="A32" s="10"/>
      <c r="B32" s="13" t="s">
        <v>95</v>
      </c>
      <c r="C32" s="161"/>
      <c r="D32" s="161"/>
      <c r="E32" s="161"/>
      <c r="F32" s="161"/>
      <c r="G32" s="161"/>
      <c r="H32" s="7" t="s">
        <v>2</v>
      </c>
      <c r="I32" s="159"/>
      <c r="J32" s="159"/>
      <c r="L32" s="8" t="s">
        <v>110</v>
      </c>
    </row>
  </sheetData>
  <mergeCells count="16">
    <mergeCell ref="I32:J32"/>
    <mergeCell ref="A31:B31"/>
    <mergeCell ref="C32:G32"/>
    <mergeCell ref="C31:H31"/>
    <mergeCell ref="A1:J1"/>
    <mergeCell ref="A2:J2"/>
    <mergeCell ref="A3:J3"/>
    <mergeCell ref="C27:F27"/>
    <mergeCell ref="I21:J21"/>
    <mergeCell ref="A15:J15"/>
    <mergeCell ref="A19:J19"/>
    <mergeCell ref="A22:J22"/>
    <mergeCell ref="C26:H26"/>
    <mergeCell ref="H5:J5"/>
    <mergeCell ref="I16:J16"/>
    <mergeCell ref="H27:J27"/>
  </mergeCells>
  <conditionalFormatting sqref="I21:J21">
    <cfRule type="cellIs" dxfId="41" priority="3" operator="greaterThan">
      <formula>0</formula>
    </cfRule>
  </conditionalFormatting>
  <conditionalFormatting sqref="I16:J16">
    <cfRule type="containsText" dxfId="40" priority="2" operator="containsText" text="Noncompliant">
      <formula>NOT(ISERROR(SEARCH("Noncompliant",I16)))</formula>
    </cfRule>
  </conditionalFormatting>
  <conditionalFormatting sqref="J12">
    <cfRule type="cellIs" dxfId="39" priority="1" operator="lessThan">
      <formula>0</formula>
    </cfRule>
  </conditionalFormatting>
  <hyperlinks>
    <hyperlink ref="C27" r:id="rId1"/>
  </hyperlinks>
  <printOptions horizontalCentered="1"/>
  <pageMargins left="0.7" right="0.7" top="0.75" bottom="0.75" header="0.3" footer="0.3"/>
  <pageSetup fitToWidth="0" orientation="portrait" r:id="rId2"/>
  <headerFooter>
    <oddFooter>&amp;R&amp;D</oddFooter>
  </headerFooter>
  <extLst>
    <ext xmlns:x14="http://schemas.microsoft.com/office/spreadsheetml/2009/9/main" uri="{CCE6A557-97BC-4b89-ADB6-D9C93CAAB3DF}">
      <x14:dataValidations xmlns:xm="http://schemas.microsoft.com/office/excel/2006/main" count="1">
        <x14:dataValidation type="list" allowBlank="1" showErrorMessage="1">
          <x14:formula1>
            <xm:f>'Fall 2022 Compliance FON'!$B$4:$B$75</xm:f>
          </x14:formula1>
          <xm:sqref>H5:J5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
  <sheetViews>
    <sheetView showGridLines="0" zoomScaleNormal="100" workbookViewId="0"/>
  </sheetViews>
  <sheetFormatPr defaultColWidth="8.88671875" defaultRowHeight="14.4"/>
  <cols>
    <col min="1" max="1" width="8.88671875" style="28"/>
    <col min="2" max="2" width="36.5546875" style="28" customWidth="1"/>
    <col min="3" max="3" width="26.6640625" style="30" customWidth="1"/>
    <col min="4" max="4" width="92.33203125" style="29" customWidth="1"/>
    <col min="5" max="5" width="64" style="29" customWidth="1"/>
    <col min="6" max="6" width="52.88671875" style="28" customWidth="1"/>
    <col min="7" max="16384" width="8.88671875" style="28"/>
  </cols>
  <sheetData>
    <row r="2" spans="1:5" ht="25.95" customHeight="1" thickBot="1">
      <c r="A2" s="36"/>
      <c r="B2" s="175" t="s">
        <v>252</v>
      </c>
      <c r="C2" s="175"/>
      <c r="D2" s="175"/>
      <c r="E2" s="175"/>
    </row>
    <row r="3" spans="1:5" s="37" customFormat="1" ht="14.7" customHeight="1" thickBot="1">
      <c r="A3" s="41"/>
      <c r="B3" s="106" t="s">
        <v>206</v>
      </c>
      <c r="C3" s="40" t="s">
        <v>130</v>
      </c>
      <c r="D3" s="39" t="s">
        <v>129</v>
      </c>
      <c r="E3" s="38" t="s">
        <v>128</v>
      </c>
    </row>
    <row r="4" spans="1:5" ht="28.8">
      <c r="A4" s="36"/>
      <c r="B4" s="172" t="s">
        <v>207</v>
      </c>
      <c r="C4" s="35" t="s">
        <v>127</v>
      </c>
      <c r="D4" s="34" t="s">
        <v>208</v>
      </c>
      <c r="E4" s="34" t="s">
        <v>209</v>
      </c>
    </row>
    <row r="5" spans="1:5" ht="43.2">
      <c r="A5" s="36"/>
      <c r="B5" s="173"/>
      <c r="C5" s="35" t="s">
        <v>126</v>
      </c>
      <c r="D5" s="34" t="s">
        <v>125</v>
      </c>
      <c r="E5" s="107" t="s">
        <v>210</v>
      </c>
    </row>
    <row r="6" spans="1:5" ht="86.4">
      <c r="A6" s="36"/>
      <c r="B6" s="173"/>
      <c r="C6" s="35" t="s">
        <v>124</v>
      </c>
      <c r="D6" s="34" t="s">
        <v>211</v>
      </c>
      <c r="E6" s="34" t="s">
        <v>212</v>
      </c>
    </row>
    <row r="7" spans="1:5">
      <c r="A7" s="36"/>
      <c r="B7" s="173"/>
      <c r="C7" s="35" t="s">
        <v>123</v>
      </c>
      <c r="D7" s="34" t="s">
        <v>122</v>
      </c>
      <c r="E7" s="34" t="s">
        <v>213</v>
      </c>
    </row>
    <row r="8" spans="1:5" ht="57.6">
      <c r="A8" s="36"/>
      <c r="B8" s="173"/>
      <c r="C8" s="35" t="s">
        <v>121</v>
      </c>
      <c r="D8" s="34" t="s">
        <v>120</v>
      </c>
      <c r="E8" s="34" t="s">
        <v>114</v>
      </c>
    </row>
    <row r="9" spans="1:5" ht="43.2">
      <c r="A9" s="36"/>
      <c r="B9" s="173"/>
      <c r="C9" s="35" t="s">
        <v>119</v>
      </c>
      <c r="D9" s="34" t="s">
        <v>118</v>
      </c>
      <c r="E9" s="34" t="s">
        <v>114</v>
      </c>
    </row>
    <row r="10" spans="1:5" ht="46.95" customHeight="1">
      <c r="A10" s="36"/>
      <c r="B10" s="173"/>
      <c r="C10" s="35" t="s">
        <v>117</v>
      </c>
      <c r="D10" s="34" t="s">
        <v>166</v>
      </c>
      <c r="E10" s="34" t="s">
        <v>114</v>
      </c>
    </row>
    <row r="11" spans="1:5" ht="39.6" customHeight="1">
      <c r="A11" s="36"/>
      <c r="B11" s="173"/>
      <c r="C11" s="35" t="s">
        <v>116</v>
      </c>
      <c r="D11" s="34" t="s">
        <v>115</v>
      </c>
      <c r="E11" s="34" t="s">
        <v>114</v>
      </c>
    </row>
    <row r="12" spans="1:5" ht="86.4">
      <c r="B12" s="174"/>
      <c r="C12" s="35" t="s">
        <v>214</v>
      </c>
      <c r="D12" s="34" t="s">
        <v>271</v>
      </c>
      <c r="E12" s="151" t="s">
        <v>270</v>
      </c>
    </row>
    <row r="13" spans="1:5">
      <c r="B13" s="33"/>
      <c r="C13" s="32"/>
      <c r="D13" s="31"/>
      <c r="E13" s="31"/>
    </row>
    <row r="14" spans="1:5">
      <c r="B14" s="33"/>
      <c r="C14" s="32"/>
      <c r="D14" s="31"/>
      <c r="E14" s="31"/>
    </row>
    <row r="15" spans="1:5">
      <c r="B15" s="33"/>
      <c r="C15" s="32"/>
      <c r="D15" s="31"/>
      <c r="E15" s="31"/>
    </row>
  </sheetData>
  <mergeCells count="2">
    <mergeCell ref="B4:B12"/>
    <mergeCell ref="B2:E2"/>
  </mergeCells>
  <hyperlinks>
    <hyperlink ref="E12" r:id="rId1"/>
  </hyperlinks>
  <pageMargins left="0.7" right="0.7" top="0.75" bottom="0.75" header="0.3" footer="0.3"/>
  <pageSetup scale="53" fitToHeight="0" orientation="landscape" r:id="rId2"/>
  <headerFooter>
    <oddHeader>&amp;LCalifornia Community Colleges&amp;R&amp;D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78"/>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8.88671875" defaultRowHeight="14.4"/>
  <cols>
    <col min="1" max="1" width="8.88671875" style="42"/>
    <col min="2" max="2" width="20.6640625" style="58" customWidth="1"/>
    <col min="3" max="3" width="18" style="42" customWidth="1"/>
    <col min="4" max="4" width="16" style="42" customWidth="1"/>
    <col min="5" max="6" width="17" style="42" customWidth="1"/>
    <col min="7" max="7" width="18.6640625" style="42" customWidth="1"/>
    <col min="8" max="16384" width="8.88671875" style="42"/>
  </cols>
  <sheetData>
    <row r="2" spans="2:7" ht="15" customHeight="1" thickBot="1">
      <c r="B2" s="59" t="s">
        <v>229</v>
      </c>
    </row>
    <row r="3" spans="2:7" s="60" customFormat="1" ht="58.5" customHeight="1" thickBot="1">
      <c r="B3" s="133" t="s">
        <v>155</v>
      </c>
      <c r="C3" s="134" t="s">
        <v>230</v>
      </c>
      <c r="D3" s="134" t="s">
        <v>231</v>
      </c>
      <c r="E3" s="134" t="s">
        <v>232</v>
      </c>
      <c r="F3" s="134" t="s">
        <v>234</v>
      </c>
      <c r="G3" s="135" t="s">
        <v>233</v>
      </c>
    </row>
    <row r="4" spans="2:7">
      <c r="B4" s="130" t="s">
        <v>14</v>
      </c>
      <c r="C4" s="61">
        <v>129.6241</v>
      </c>
      <c r="D4" s="61">
        <v>149.19999999999999</v>
      </c>
      <c r="E4" s="61">
        <v>134.6241</v>
      </c>
      <c r="F4" s="61">
        <v>145.6241</v>
      </c>
      <c r="G4" s="61">
        <f>IF(Fall2022FON[[#This Row],[Fall 2022
Advance FON]]&gt;Fall2022FON[[#This Row],[Fall 2022 
P2 FON]],Fall2022FON[[#This Row],[Fall 2022 
P2 FON]],Fall2022FON[[#This Row],[Fall 2022
Advance FON]])</f>
        <v>134.6241</v>
      </c>
    </row>
    <row r="5" spans="2:7">
      <c r="B5" s="130" t="s">
        <v>15</v>
      </c>
      <c r="C5" s="61">
        <v>146.36279999999999</v>
      </c>
      <c r="D5" s="61">
        <v>179</v>
      </c>
      <c r="E5" s="61">
        <v>157.36279999999999</v>
      </c>
      <c r="F5" s="61">
        <v>171.36279999999999</v>
      </c>
      <c r="G5" s="61">
        <f>IF(Fall2022FON[[#This Row],[Fall 2022
Advance FON]]&gt;Fall2022FON[[#This Row],[Fall 2022 
P2 FON]],Fall2022FON[[#This Row],[Fall 2022 
P2 FON]],Fall2022FON[[#This Row],[Fall 2022
Advance FON]])</f>
        <v>157.36279999999999</v>
      </c>
    </row>
    <row r="6" spans="2:7">
      <c r="B6" s="130" t="s">
        <v>16</v>
      </c>
      <c r="C6" s="61">
        <v>25.333500000000001</v>
      </c>
      <c r="D6" s="61">
        <v>41</v>
      </c>
      <c r="E6" s="61">
        <v>28.333500000000001</v>
      </c>
      <c r="F6" s="61">
        <v>30.333500000000001</v>
      </c>
      <c r="G6" s="61">
        <f>IF(Fall2022FON[[#This Row],[Fall 2022
Advance FON]]&gt;Fall2022FON[[#This Row],[Fall 2022 
P2 FON]],Fall2022FON[[#This Row],[Fall 2022 
P2 FON]],Fall2022FON[[#This Row],[Fall 2022
Advance FON]])</f>
        <v>28.333500000000001</v>
      </c>
    </row>
    <row r="7" spans="2:7">
      <c r="B7" s="130" t="s">
        <v>17</v>
      </c>
      <c r="C7" s="61">
        <v>145.45410000000001</v>
      </c>
      <c r="D7" s="61">
        <v>180.4</v>
      </c>
      <c r="E7" s="61">
        <v>155.45410000000001</v>
      </c>
      <c r="F7" s="61">
        <v>169.45410000000001</v>
      </c>
      <c r="G7" s="61">
        <f>IF(Fall2022FON[[#This Row],[Fall 2022
Advance FON]]&gt;Fall2022FON[[#This Row],[Fall 2022 
P2 FON]],Fall2022FON[[#This Row],[Fall 2022 
P2 FON]],Fall2022FON[[#This Row],[Fall 2022
Advance FON]])</f>
        <v>155.45410000000001</v>
      </c>
    </row>
    <row r="8" spans="2:7">
      <c r="B8" s="130" t="s">
        <v>18</v>
      </c>
      <c r="C8" s="61">
        <v>164.76750000000001</v>
      </c>
      <c r="D8" s="61">
        <v>182.4</v>
      </c>
      <c r="E8" s="61">
        <v>162.76750000000001</v>
      </c>
      <c r="F8" s="61">
        <v>176.76750000000001</v>
      </c>
      <c r="G8" s="61">
        <f>IF(Fall2022FON[[#This Row],[Fall 2022
Advance FON]]&gt;Fall2022FON[[#This Row],[Fall 2022 
P2 FON]],Fall2022FON[[#This Row],[Fall 2022 
P2 FON]],Fall2022FON[[#This Row],[Fall 2022
Advance FON]])</f>
        <v>162.76750000000001</v>
      </c>
    </row>
    <row r="9" spans="2:7">
      <c r="B9" s="130" t="s">
        <v>19</v>
      </c>
      <c r="C9" s="61">
        <v>252.9939</v>
      </c>
      <c r="D9" s="61">
        <v>260.3</v>
      </c>
      <c r="E9" s="61">
        <v>272.9939</v>
      </c>
      <c r="F9" s="61">
        <v>314.9939</v>
      </c>
      <c r="G9" s="61">
        <f>IF(Fall2022FON[[#This Row],[Fall 2022
Advance FON]]&gt;Fall2022FON[[#This Row],[Fall 2022 
P2 FON]],Fall2022FON[[#This Row],[Fall 2022 
P2 FON]],Fall2022FON[[#This Row],[Fall 2022
Advance FON]])</f>
        <v>272.9939</v>
      </c>
    </row>
    <row r="10" spans="2:7">
      <c r="B10" s="130" t="s">
        <v>20</v>
      </c>
      <c r="C10" s="61">
        <v>272.96730000000002</v>
      </c>
      <c r="D10" s="61">
        <v>307.5</v>
      </c>
      <c r="E10" s="61">
        <v>299.96730000000002</v>
      </c>
      <c r="F10" s="61">
        <v>322.96730000000002</v>
      </c>
      <c r="G10" s="61">
        <f>IF(Fall2022FON[[#This Row],[Fall 2022
Advance FON]]&gt;Fall2022FON[[#This Row],[Fall 2022 
P2 FON]],Fall2022FON[[#This Row],[Fall 2022 
P2 FON]],Fall2022FON[[#This Row],[Fall 2022
Advance FON]])</f>
        <v>299.96730000000002</v>
      </c>
    </row>
    <row r="11" spans="2:7">
      <c r="B11" s="130" t="s">
        <v>21</v>
      </c>
      <c r="C11" s="61">
        <v>233.58510000000001</v>
      </c>
      <c r="D11" s="61">
        <v>235.8</v>
      </c>
      <c r="E11" s="61">
        <v>251.58510000000001</v>
      </c>
      <c r="F11" s="61">
        <v>269.58510000000001</v>
      </c>
      <c r="G11" s="61">
        <f>IF(Fall2022FON[[#This Row],[Fall 2022
Advance FON]]&gt;Fall2022FON[[#This Row],[Fall 2022 
P2 FON]],Fall2022FON[[#This Row],[Fall 2022 
P2 FON]],Fall2022FON[[#This Row],[Fall 2022
Advance FON]])</f>
        <v>251.58510000000001</v>
      </c>
    </row>
    <row r="12" spans="2:7">
      <c r="B12" s="130" t="s">
        <v>22</v>
      </c>
      <c r="C12" s="61">
        <v>162.0453</v>
      </c>
      <c r="D12" s="61">
        <v>163</v>
      </c>
      <c r="E12" s="61">
        <v>172.0453</v>
      </c>
      <c r="F12" s="61">
        <v>174.0453</v>
      </c>
      <c r="G12" s="61">
        <f>IF(Fall2022FON[[#This Row],[Fall 2022
Advance FON]]&gt;Fall2022FON[[#This Row],[Fall 2022 
P2 FON]],Fall2022FON[[#This Row],[Fall 2022 
P2 FON]],Fall2022FON[[#This Row],[Fall 2022
Advance FON]])</f>
        <v>172.0453</v>
      </c>
    </row>
    <row r="13" spans="2:7">
      <c r="B13" s="130" t="s">
        <v>23</v>
      </c>
      <c r="C13" s="61">
        <v>365.86709999999999</v>
      </c>
      <c r="D13" s="61">
        <v>426.2</v>
      </c>
      <c r="E13" s="61">
        <v>382.86709999999999</v>
      </c>
      <c r="F13" s="61">
        <v>418.86709999999999</v>
      </c>
      <c r="G13" s="61">
        <f>IF(Fall2022FON[[#This Row],[Fall 2022
Advance FON]]&gt;Fall2022FON[[#This Row],[Fall 2022 
P2 FON]],Fall2022FON[[#This Row],[Fall 2022 
P2 FON]],Fall2022FON[[#This Row],[Fall 2022
Advance FON]])</f>
        <v>382.86709999999999</v>
      </c>
    </row>
    <row r="14" spans="2:7">
      <c r="B14" s="130" t="s">
        <v>24</v>
      </c>
      <c r="C14" s="61">
        <v>25.951000000000001</v>
      </c>
      <c r="D14" s="61">
        <v>104.6</v>
      </c>
      <c r="E14" s="61">
        <v>27.951000000000001</v>
      </c>
      <c r="F14" s="61">
        <v>35.951000000000001</v>
      </c>
      <c r="G14" s="61">
        <f>IF(Fall2022FON[[#This Row],[Fall 2022
Advance FON]]&gt;Fall2022FON[[#This Row],[Fall 2022 
P2 FON]],Fall2022FON[[#This Row],[Fall 2022 
P2 FON]],Fall2022FON[[#This Row],[Fall 2022
Advance FON]])</f>
        <v>27.951000000000001</v>
      </c>
    </row>
    <row r="15" spans="2:7">
      <c r="B15" s="130" t="s">
        <v>25</v>
      </c>
      <c r="C15" s="61">
        <v>337.01979999999998</v>
      </c>
      <c r="D15" s="61">
        <v>480.4</v>
      </c>
      <c r="E15" s="61">
        <v>376.01979999999998</v>
      </c>
      <c r="F15" s="61">
        <v>413.01979999999998</v>
      </c>
      <c r="G15" s="61">
        <f>IF(Fall2022FON[[#This Row],[Fall 2022
Advance FON]]&gt;Fall2022FON[[#This Row],[Fall 2022 
P2 FON]],Fall2022FON[[#This Row],[Fall 2022 
P2 FON]],Fall2022FON[[#This Row],[Fall 2022
Advance FON]])</f>
        <v>376.01979999999998</v>
      </c>
    </row>
    <row r="16" spans="2:7">
      <c r="B16" s="130" t="s">
        <v>156</v>
      </c>
      <c r="C16" s="61">
        <v>7.6952999999999996</v>
      </c>
      <c r="D16" s="61">
        <v>43.3</v>
      </c>
      <c r="E16" s="61">
        <v>7.6952999999999996</v>
      </c>
      <c r="F16" s="61">
        <v>9.6952999999999996</v>
      </c>
      <c r="G16" s="61">
        <f>IF(Fall2022FON[[#This Row],[Fall 2022
Advance FON]]&gt;Fall2022FON[[#This Row],[Fall 2022 
P2 FON]],Fall2022FON[[#This Row],[Fall 2022 
P2 FON]],Fall2022FON[[#This Row],[Fall 2022
Advance FON]])</f>
        <v>7.6952999999999996</v>
      </c>
    </row>
    <row r="17" spans="2:7">
      <c r="B17" s="130" t="s">
        <v>26</v>
      </c>
      <c r="C17" s="61">
        <v>120.8176</v>
      </c>
      <c r="D17" s="61">
        <v>133.19999999999999</v>
      </c>
      <c r="E17" s="61">
        <v>128.8176</v>
      </c>
      <c r="F17" s="61">
        <v>140.8176</v>
      </c>
      <c r="G17" s="61">
        <f>IF(Fall2022FON[[#This Row],[Fall 2022
Advance FON]]&gt;Fall2022FON[[#This Row],[Fall 2022 
P2 FON]],Fall2022FON[[#This Row],[Fall 2022 
P2 FON]],Fall2022FON[[#This Row],[Fall 2022
Advance FON]])</f>
        <v>128.8176</v>
      </c>
    </row>
    <row r="18" spans="2:7">
      <c r="B18" s="130" t="s">
        <v>27</v>
      </c>
      <c r="C18" s="61">
        <v>312.95920000000001</v>
      </c>
      <c r="D18" s="61">
        <v>321</v>
      </c>
      <c r="E18" s="61">
        <v>336.95920000000001</v>
      </c>
      <c r="F18" s="61">
        <v>361.95920000000001</v>
      </c>
      <c r="G18" s="61">
        <f>IF(Fall2022FON[[#This Row],[Fall 2022
Advance FON]]&gt;Fall2022FON[[#This Row],[Fall 2022 
P2 FON]],Fall2022FON[[#This Row],[Fall 2022 
P2 FON]],Fall2022FON[[#This Row],[Fall 2022
Advance FON]])</f>
        <v>336.95920000000001</v>
      </c>
    </row>
    <row r="19" spans="2:7">
      <c r="B19" s="130" t="s">
        <v>28</v>
      </c>
      <c r="C19" s="61">
        <v>17.3188</v>
      </c>
      <c r="D19" s="61">
        <v>34.5</v>
      </c>
      <c r="E19" s="61">
        <v>17.3188</v>
      </c>
      <c r="F19" s="61">
        <v>19.3188</v>
      </c>
      <c r="G19" s="61">
        <f>IF(Fall2022FON[[#This Row],[Fall 2022
Advance FON]]&gt;Fall2022FON[[#This Row],[Fall 2022 
P2 FON]],Fall2022FON[[#This Row],[Fall 2022 
P2 FON]],Fall2022FON[[#This Row],[Fall 2022
Advance FON]])</f>
        <v>17.3188</v>
      </c>
    </row>
    <row r="20" spans="2:7">
      <c r="B20" s="130" t="s">
        <v>29</v>
      </c>
      <c r="C20" s="61">
        <v>358.55779999999999</v>
      </c>
      <c r="D20" s="61">
        <v>405.3</v>
      </c>
      <c r="E20" s="61">
        <v>381.55779999999999</v>
      </c>
      <c r="F20" s="61">
        <v>398.55779999999999</v>
      </c>
      <c r="G20" s="61">
        <f>IF(Fall2022FON[[#This Row],[Fall 2022
Advance FON]]&gt;Fall2022FON[[#This Row],[Fall 2022 
P2 FON]],Fall2022FON[[#This Row],[Fall 2022 
P2 FON]],Fall2022FON[[#This Row],[Fall 2022
Advance FON]])</f>
        <v>381.55779999999999</v>
      </c>
    </row>
    <row r="21" spans="2:7">
      <c r="B21" s="130" t="s">
        <v>30</v>
      </c>
      <c r="C21" s="61">
        <v>66.532399999999996</v>
      </c>
      <c r="D21" s="61">
        <v>65</v>
      </c>
      <c r="E21" s="61">
        <v>70.532399999999996</v>
      </c>
      <c r="F21" s="61">
        <v>74.532399999999996</v>
      </c>
      <c r="G21" s="61">
        <f>IF(Fall2022FON[[#This Row],[Fall 2022
Advance FON]]&gt;Fall2022FON[[#This Row],[Fall 2022 
P2 FON]],Fall2022FON[[#This Row],[Fall 2022 
P2 FON]],Fall2022FON[[#This Row],[Fall 2022
Advance FON]])</f>
        <v>70.532399999999996</v>
      </c>
    </row>
    <row r="22" spans="2:7">
      <c r="B22" s="130" t="s">
        <v>31</v>
      </c>
      <c r="C22" s="61">
        <v>195.0789</v>
      </c>
      <c r="D22" s="61">
        <v>214.8</v>
      </c>
      <c r="E22" s="61">
        <v>211.0789</v>
      </c>
      <c r="F22" s="61">
        <v>226.0789</v>
      </c>
      <c r="G22" s="61">
        <f>IF(Fall2022FON[[#This Row],[Fall 2022
Advance FON]]&gt;Fall2022FON[[#This Row],[Fall 2022 
P2 FON]],Fall2022FON[[#This Row],[Fall 2022 
P2 FON]],Fall2022FON[[#This Row],[Fall 2022
Advance FON]])</f>
        <v>211.0789</v>
      </c>
    </row>
    <row r="23" spans="2:7">
      <c r="B23" s="130" t="s">
        <v>32</v>
      </c>
      <c r="C23" s="61">
        <v>265.54349999999999</v>
      </c>
      <c r="D23" s="61">
        <v>284.89999999999998</v>
      </c>
      <c r="E23" s="61">
        <v>280.54349999999999</v>
      </c>
      <c r="F23" s="61">
        <v>302.54349999999999</v>
      </c>
      <c r="G23" s="61">
        <f>IF(Fall2022FON[[#This Row],[Fall 2022
Advance FON]]&gt;Fall2022FON[[#This Row],[Fall 2022 
P2 FON]],Fall2022FON[[#This Row],[Fall 2022 
P2 FON]],Fall2022FON[[#This Row],[Fall 2022
Advance FON]])</f>
        <v>280.54349999999999</v>
      </c>
    </row>
    <row r="24" spans="2:7">
      <c r="B24" s="130" t="s">
        <v>33</v>
      </c>
      <c r="C24" s="61">
        <v>103.95829999999999</v>
      </c>
      <c r="D24" s="61">
        <v>123</v>
      </c>
      <c r="E24" s="61">
        <v>111.95829999999999</v>
      </c>
      <c r="F24" s="61">
        <v>120.95829999999999</v>
      </c>
      <c r="G24" s="61">
        <f>IF(Fall2022FON[[#This Row],[Fall 2022
Advance FON]]&gt;Fall2022FON[[#This Row],[Fall 2022 
P2 FON]],Fall2022FON[[#This Row],[Fall 2022 
P2 FON]],Fall2022FON[[#This Row],[Fall 2022
Advance FON]])</f>
        <v>111.95829999999999</v>
      </c>
    </row>
    <row r="25" spans="2:7">
      <c r="B25" s="130" t="s">
        <v>34</v>
      </c>
      <c r="C25" s="61">
        <v>102.06059999999999</v>
      </c>
      <c r="D25" s="61">
        <v>120</v>
      </c>
      <c r="E25" s="61">
        <v>109.06059999999999</v>
      </c>
      <c r="F25" s="61">
        <v>118.06059999999999</v>
      </c>
      <c r="G25" s="61">
        <f>IF(Fall2022FON[[#This Row],[Fall 2022
Advance FON]]&gt;Fall2022FON[[#This Row],[Fall 2022 
P2 FON]],Fall2022FON[[#This Row],[Fall 2022 
P2 FON]],Fall2022FON[[#This Row],[Fall 2022
Advance FON]])</f>
        <v>109.06059999999999</v>
      </c>
    </row>
    <row r="26" spans="2:7">
      <c r="B26" s="130" t="s">
        <v>35</v>
      </c>
      <c r="C26" s="61">
        <v>416.78919999999999</v>
      </c>
      <c r="D26" s="61">
        <v>462</v>
      </c>
      <c r="E26" s="61">
        <v>457.78919999999999</v>
      </c>
      <c r="F26" s="61">
        <v>481.78919999999999</v>
      </c>
      <c r="G26" s="61">
        <f>IF(Fall2022FON[[#This Row],[Fall 2022
Advance FON]]&gt;Fall2022FON[[#This Row],[Fall 2022 
P2 FON]],Fall2022FON[[#This Row],[Fall 2022 
P2 FON]],Fall2022FON[[#This Row],[Fall 2022
Advance FON]])</f>
        <v>457.78919999999999</v>
      </c>
    </row>
    <row r="27" spans="2:7">
      <c r="B27" s="130" t="s">
        <v>36</v>
      </c>
      <c r="C27" s="61">
        <v>15.559999999999999</v>
      </c>
      <c r="D27" s="61">
        <v>36.1</v>
      </c>
      <c r="E27" s="61">
        <v>15.559999999999999</v>
      </c>
      <c r="F27" s="61">
        <v>19.559999999999999</v>
      </c>
      <c r="G27" s="61">
        <f>IF(Fall2022FON[[#This Row],[Fall 2022
Advance FON]]&gt;Fall2022FON[[#This Row],[Fall 2022 
P2 FON]],Fall2022FON[[#This Row],[Fall 2022 
P2 FON]],Fall2022FON[[#This Row],[Fall 2022
Advance FON]])</f>
        <v>15.559999999999999</v>
      </c>
    </row>
    <row r="28" spans="2:7">
      <c r="B28" s="130" t="s">
        <v>37</v>
      </c>
      <c r="C28" s="61">
        <v>13.046900000000001</v>
      </c>
      <c r="D28" s="61">
        <v>24</v>
      </c>
      <c r="E28" s="61">
        <v>12.046900000000001</v>
      </c>
      <c r="F28" s="61">
        <v>13.046900000000001</v>
      </c>
      <c r="G28" s="61">
        <f>IF(Fall2022FON[[#This Row],[Fall 2022
Advance FON]]&gt;Fall2022FON[[#This Row],[Fall 2022 
P2 FON]],Fall2022FON[[#This Row],[Fall 2022 
P2 FON]],Fall2022FON[[#This Row],[Fall 2022
Advance FON]])</f>
        <v>12.046900000000001</v>
      </c>
    </row>
    <row r="29" spans="2:7">
      <c r="B29" s="130" t="s">
        <v>38</v>
      </c>
      <c r="C29" s="61">
        <v>311.959</v>
      </c>
      <c r="D29" s="61">
        <v>328.5</v>
      </c>
      <c r="E29" s="61">
        <v>342.959</v>
      </c>
      <c r="F29" s="61">
        <v>371.959</v>
      </c>
      <c r="G29" s="61">
        <f>IF(Fall2022FON[[#This Row],[Fall 2022
Advance FON]]&gt;Fall2022FON[[#This Row],[Fall 2022 
P2 FON]],Fall2022FON[[#This Row],[Fall 2022 
P2 FON]],Fall2022FON[[#This Row],[Fall 2022
Advance FON]])</f>
        <v>342.959</v>
      </c>
    </row>
    <row r="30" spans="2:7">
      <c r="B30" s="130" t="s">
        <v>39</v>
      </c>
      <c r="C30" s="61">
        <v>1411.7841000000001</v>
      </c>
      <c r="D30" s="61">
        <v>1439.3</v>
      </c>
      <c r="E30" s="61">
        <v>1466.7841000000001</v>
      </c>
      <c r="F30" s="61">
        <v>1648.7841000000001</v>
      </c>
      <c r="G30" s="61">
        <f>IF(Fall2022FON[[#This Row],[Fall 2022
Advance FON]]&gt;Fall2022FON[[#This Row],[Fall 2022 
P2 FON]],Fall2022FON[[#This Row],[Fall 2022 
P2 FON]],Fall2022FON[[#This Row],[Fall 2022
Advance FON]])</f>
        <v>1466.7841000000001</v>
      </c>
    </row>
    <row r="31" spans="2:7">
      <c r="B31" s="130" t="s">
        <v>40</v>
      </c>
      <c r="C31" s="61">
        <v>818.10069999999996</v>
      </c>
      <c r="D31" s="61">
        <v>943.7</v>
      </c>
      <c r="E31" s="61">
        <v>839.10069999999996</v>
      </c>
      <c r="F31" s="61">
        <v>909.10069999999996</v>
      </c>
      <c r="G31" s="61">
        <f>IF(Fall2022FON[[#This Row],[Fall 2022
Advance FON]]&gt;Fall2022FON[[#This Row],[Fall 2022 
P2 FON]],Fall2022FON[[#This Row],[Fall 2022 
P2 FON]],Fall2022FON[[#This Row],[Fall 2022
Advance FON]])</f>
        <v>839.10069999999996</v>
      </c>
    </row>
    <row r="32" spans="2:7">
      <c r="B32" s="130" t="s">
        <v>41</v>
      </c>
      <c r="C32" s="61">
        <v>49.504600000000003</v>
      </c>
      <c r="D32" s="61">
        <v>110.5</v>
      </c>
      <c r="E32" s="61">
        <v>52.504600000000003</v>
      </c>
      <c r="F32" s="61">
        <v>55.504600000000003</v>
      </c>
      <c r="G32" s="61">
        <f>IF(Fall2022FON[[#This Row],[Fall 2022
Advance FON]]&gt;Fall2022FON[[#This Row],[Fall 2022 
P2 FON]],Fall2022FON[[#This Row],[Fall 2022 
P2 FON]],Fall2022FON[[#This Row],[Fall 2022
Advance FON]])</f>
        <v>52.504600000000003</v>
      </c>
    </row>
    <row r="33" spans="2:7">
      <c r="B33" s="130" t="s">
        <v>42</v>
      </c>
      <c r="C33" s="61">
        <v>36.740099999999998</v>
      </c>
      <c r="D33" s="61">
        <v>55</v>
      </c>
      <c r="E33" s="61">
        <v>31.740099999999998</v>
      </c>
      <c r="F33" s="61">
        <v>47.740099999999998</v>
      </c>
      <c r="G33" s="61">
        <f>IF(Fall2022FON[[#This Row],[Fall 2022
Advance FON]]&gt;Fall2022FON[[#This Row],[Fall 2022 
P2 FON]],Fall2022FON[[#This Row],[Fall 2022 
P2 FON]],Fall2022FON[[#This Row],[Fall 2022
Advance FON]])</f>
        <v>31.740099999999998</v>
      </c>
    </row>
    <row r="34" spans="2:7">
      <c r="B34" s="130" t="s">
        <v>43</v>
      </c>
      <c r="C34" s="61">
        <v>167.74430000000001</v>
      </c>
      <c r="D34" s="61">
        <v>175.7</v>
      </c>
      <c r="E34" s="61">
        <v>182.74430000000001</v>
      </c>
      <c r="F34" s="61">
        <v>194.74430000000001</v>
      </c>
      <c r="G34" s="61">
        <f>IF(Fall2022FON[[#This Row],[Fall 2022
Advance FON]]&gt;Fall2022FON[[#This Row],[Fall 2022 
P2 FON]],Fall2022FON[[#This Row],[Fall 2022 
P2 FON]],Fall2022FON[[#This Row],[Fall 2022
Advance FON]])</f>
        <v>182.74430000000001</v>
      </c>
    </row>
    <row r="35" spans="2:7">
      <c r="B35" s="130" t="s">
        <v>157</v>
      </c>
      <c r="C35" s="61">
        <v>144.2406</v>
      </c>
      <c r="D35" s="61">
        <v>202.6</v>
      </c>
      <c r="E35" s="61">
        <v>155.2406</v>
      </c>
      <c r="F35" s="61">
        <v>165.2406</v>
      </c>
      <c r="G35" s="61">
        <f>IF(Fall2022FON[[#This Row],[Fall 2022
Advance FON]]&gt;Fall2022FON[[#This Row],[Fall 2022 
P2 FON]],Fall2022FON[[#This Row],[Fall 2022 
P2 FON]],Fall2022FON[[#This Row],[Fall 2022
Advance FON]])</f>
        <v>155.2406</v>
      </c>
    </row>
    <row r="36" spans="2:7">
      <c r="B36" s="130" t="s">
        <v>44</v>
      </c>
      <c r="C36" s="61">
        <v>105.68680000000001</v>
      </c>
      <c r="D36" s="61">
        <v>111.9</v>
      </c>
      <c r="E36" s="61">
        <v>114.68680000000001</v>
      </c>
      <c r="F36" s="61">
        <v>122.68680000000001</v>
      </c>
      <c r="G36" s="61">
        <f>IF(Fall2022FON[[#This Row],[Fall 2022
Advance FON]]&gt;Fall2022FON[[#This Row],[Fall 2022 
P2 FON]],Fall2022FON[[#This Row],[Fall 2022 
P2 FON]],Fall2022FON[[#This Row],[Fall 2022
Advance FON]])</f>
        <v>114.68680000000001</v>
      </c>
    </row>
    <row r="37" spans="2:7">
      <c r="B37" s="130" t="s">
        <v>45</v>
      </c>
      <c r="C37" s="61">
        <v>405.09750000000003</v>
      </c>
      <c r="D37" s="61">
        <v>439.1</v>
      </c>
      <c r="E37" s="61">
        <v>435.09750000000003</v>
      </c>
      <c r="F37" s="61">
        <v>471.09750000000003</v>
      </c>
      <c r="G37" s="61">
        <f>IF(Fall2022FON[[#This Row],[Fall 2022
Advance FON]]&gt;Fall2022FON[[#This Row],[Fall 2022 
P2 FON]],Fall2022FON[[#This Row],[Fall 2022 
P2 FON]],Fall2022FON[[#This Row],[Fall 2022
Advance FON]])</f>
        <v>435.09750000000003</v>
      </c>
    </row>
    <row r="38" spans="2:7">
      <c r="B38" s="130" t="s">
        <v>46</v>
      </c>
      <c r="C38" s="61">
        <v>145.57810000000001</v>
      </c>
      <c r="D38" s="61">
        <v>207</v>
      </c>
      <c r="E38" s="61">
        <v>155.57810000000001</v>
      </c>
      <c r="F38" s="61">
        <v>171.57810000000001</v>
      </c>
      <c r="G38" s="61">
        <f>IF(Fall2022FON[[#This Row],[Fall 2022
Advance FON]]&gt;Fall2022FON[[#This Row],[Fall 2022 
P2 FON]],Fall2022FON[[#This Row],[Fall 2022 
P2 FON]],Fall2022FON[[#This Row],[Fall 2022
Advance FON]])</f>
        <v>155.57810000000001</v>
      </c>
    </row>
    <row r="39" spans="2:7">
      <c r="B39" s="130" t="s">
        <v>47</v>
      </c>
      <c r="C39" s="61">
        <v>72.383899999999997</v>
      </c>
      <c r="D39" s="61">
        <v>111.4</v>
      </c>
      <c r="E39" s="61">
        <v>78.383899999999997</v>
      </c>
      <c r="F39" s="61">
        <v>83.383899999999997</v>
      </c>
      <c r="G39" s="61">
        <f>IF(Fall2022FON[[#This Row],[Fall 2022
Advance FON]]&gt;Fall2022FON[[#This Row],[Fall 2022 
P2 FON]],Fall2022FON[[#This Row],[Fall 2022 
P2 FON]],Fall2022FON[[#This Row],[Fall 2022
Advance FON]])</f>
        <v>78.383899999999997</v>
      </c>
    </row>
    <row r="40" spans="2:7">
      <c r="B40" s="130" t="s">
        <v>48</v>
      </c>
      <c r="C40" s="61">
        <v>520.17700000000002</v>
      </c>
      <c r="D40" s="61">
        <v>546</v>
      </c>
      <c r="E40" s="61">
        <v>560.17700000000002</v>
      </c>
      <c r="F40" s="61">
        <v>532.17700000000002</v>
      </c>
      <c r="G40" s="61">
        <f>IF(Fall2022FON[[#This Row],[Fall 2022
Advance FON]]&gt;Fall2022FON[[#This Row],[Fall 2022 
P2 FON]],Fall2022FON[[#This Row],[Fall 2022 
P2 FON]],Fall2022FON[[#This Row],[Fall 2022
Advance FON]])</f>
        <v>532.17700000000002</v>
      </c>
    </row>
    <row r="41" spans="2:7">
      <c r="B41" s="130" t="s">
        <v>49</v>
      </c>
      <c r="C41" s="61">
        <v>99.644300000000001</v>
      </c>
      <c r="D41" s="61">
        <v>119</v>
      </c>
      <c r="E41" s="61">
        <v>106.6443</v>
      </c>
      <c r="F41" s="61">
        <v>119.6443</v>
      </c>
      <c r="G41" s="61">
        <f>IF(Fall2022FON[[#This Row],[Fall 2022
Advance FON]]&gt;Fall2022FON[[#This Row],[Fall 2022 
P2 FON]],Fall2022FON[[#This Row],[Fall 2022 
P2 FON]],Fall2022FON[[#This Row],[Fall 2022
Advance FON]])</f>
        <v>106.6443</v>
      </c>
    </row>
    <row r="42" spans="2:7">
      <c r="B42" s="130" t="s">
        <v>50</v>
      </c>
      <c r="C42" s="61">
        <v>23.435300000000002</v>
      </c>
      <c r="D42" s="61">
        <v>46</v>
      </c>
      <c r="E42" s="61">
        <v>25.435300000000002</v>
      </c>
      <c r="F42" s="61">
        <v>27.435300000000002</v>
      </c>
      <c r="G42" s="61">
        <f>IF(Fall2022FON[[#This Row],[Fall 2022
Advance FON]]&gt;Fall2022FON[[#This Row],[Fall 2022 
P2 FON]],Fall2022FON[[#This Row],[Fall 2022 
P2 FON]],Fall2022FON[[#This Row],[Fall 2022
Advance FON]])</f>
        <v>25.435300000000002</v>
      </c>
    </row>
    <row r="43" spans="2:7">
      <c r="B43" s="130" t="s">
        <v>51</v>
      </c>
      <c r="C43" s="61">
        <v>255.1318</v>
      </c>
      <c r="D43" s="61">
        <v>281</v>
      </c>
      <c r="E43" s="61">
        <v>282.1318</v>
      </c>
      <c r="F43" s="61">
        <v>304.1318</v>
      </c>
      <c r="G43" s="61">
        <f>IF(Fall2022FON[[#This Row],[Fall 2022
Advance FON]]&gt;Fall2022FON[[#This Row],[Fall 2022 
P2 FON]],Fall2022FON[[#This Row],[Fall 2022 
P2 FON]],Fall2022FON[[#This Row],[Fall 2022
Advance FON]])</f>
        <v>282.1318</v>
      </c>
    </row>
    <row r="44" spans="2:7">
      <c r="B44" s="130" t="s">
        <v>158</v>
      </c>
      <c r="C44" s="61">
        <v>405.36059999999998</v>
      </c>
      <c r="D44" s="61">
        <v>412</v>
      </c>
      <c r="E44" s="61">
        <v>434.36059999999998</v>
      </c>
      <c r="F44" s="61">
        <v>467.36059999999998</v>
      </c>
      <c r="G44" s="61">
        <f>IF(Fall2022FON[[#This Row],[Fall 2022
Advance FON]]&gt;Fall2022FON[[#This Row],[Fall 2022 
P2 FON]],Fall2022FON[[#This Row],[Fall 2022 
P2 FON]],Fall2022FON[[#This Row],[Fall 2022
Advance FON]])</f>
        <v>434.36059999999998</v>
      </c>
    </row>
    <row r="45" spans="2:7">
      <c r="B45" s="130" t="s">
        <v>52</v>
      </c>
      <c r="C45" s="61">
        <v>256.85899999999998</v>
      </c>
      <c r="D45" s="61">
        <v>306.60000000000002</v>
      </c>
      <c r="E45" s="61">
        <v>273.85899999999998</v>
      </c>
      <c r="F45" s="61">
        <v>293.85899999999998</v>
      </c>
      <c r="G45" s="61">
        <f>IF(Fall2022FON[[#This Row],[Fall 2022
Advance FON]]&gt;Fall2022FON[[#This Row],[Fall 2022 
P2 FON]],Fall2022FON[[#This Row],[Fall 2022 
P2 FON]],Fall2022FON[[#This Row],[Fall 2022
Advance FON]])</f>
        <v>273.85899999999998</v>
      </c>
    </row>
    <row r="46" spans="2:7">
      <c r="B46" s="130" t="s">
        <v>53</v>
      </c>
      <c r="C46" s="61">
        <v>323.36529999999999</v>
      </c>
      <c r="D46" s="61">
        <v>340.8</v>
      </c>
      <c r="E46" s="61">
        <v>365.36529999999999</v>
      </c>
      <c r="F46" s="61">
        <v>356.36529999999999</v>
      </c>
      <c r="G46" s="61">
        <f>IF(Fall2022FON[[#This Row],[Fall 2022
Advance FON]]&gt;Fall2022FON[[#This Row],[Fall 2022 
P2 FON]],Fall2022FON[[#This Row],[Fall 2022 
P2 FON]],Fall2022FON[[#This Row],[Fall 2022
Advance FON]])</f>
        <v>356.36529999999999</v>
      </c>
    </row>
    <row r="47" spans="2:7">
      <c r="B47" s="130" t="s">
        <v>54</v>
      </c>
      <c r="C47" s="61">
        <v>56.157499999999999</v>
      </c>
      <c r="D47" s="61">
        <v>69</v>
      </c>
      <c r="E47" s="61">
        <v>61.157499999999999</v>
      </c>
      <c r="F47" s="61">
        <v>65.157499999999999</v>
      </c>
      <c r="G47" s="61">
        <f>IF(Fall2022FON[[#This Row],[Fall 2022
Advance FON]]&gt;Fall2022FON[[#This Row],[Fall 2022 
P2 FON]],Fall2022FON[[#This Row],[Fall 2022 
P2 FON]],Fall2022FON[[#This Row],[Fall 2022
Advance FON]])</f>
        <v>61.157499999999999</v>
      </c>
    </row>
    <row r="48" spans="2:7">
      <c r="B48" s="130" t="s">
        <v>55</v>
      </c>
      <c r="C48" s="61">
        <v>205.8244</v>
      </c>
      <c r="D48" s="61">
        <v>221</v>
      </c>
      <c r="E48" s="61">
        <v>221.8244</v>
      </c>
      <c r="F48" s="61">
        <v>238.8244</v>
      </c>
      <c r="G48" s="61">
        <f>IF(Fall2022FON[[#This Row],[Fall 2022
Advance FON]]&gt;Fall2022FON[[#This Row],[Fall 2022 
P2 FON]],Fall2022FON[[#This Row],[Fall 2022 
P2 FON]],Fall2022FON[[#This Row],[Fall 2022
Advance FON]])</f>
        <v>221.8244</v>
      </c>
    </row>
    <row r="49" spans="2:7">
      <c r="B49" s="130" t="s">
        <v>56</v>
      </c>
      <c r="C49" s="61">
        <v>402.35449999999997</v>
      </c>
      <c r="D49" s="61">
        <v>452.6</v>
      </c>
      <c r="E49" s="61">
        <v>441.35449999999997</v>
      </c>
      <c r="F49" s="61">
        <v>474.35449999999997</v>
      </c>
      <c r="G49" s="61">
        <f>IF(Fall2022FON[[#This Row],[Fall 2022
Advance FON]]&gt;Fall2022FON[[#This Row],[Fall 2022 
P2 FON]],Fall2022FON[[#This Row],[Fall 2022 
P2 FON]],Fall2022FON[[#This Row],[Fall 2022
Advance FON]])</f>
        <v>441.35449999999997</v>
      </c>
    </row>
    <row r="50" spans="2:7">
      <c r="B50" s="130" t="s">
        <v>57</v>
      </c>
      <c r="C50" s="61">
        <v>221.38229999999999</v>
      </c>
      <c r="D50" s="61">
        <v>251.5</v>
      </c>
      <c r="E50" s="61">
        <v>233.38229999999999</v>
      </c>
      <c r="F50" s="61">
        <v>250.38229999999999</v>
      </c>
      <c r="G50" s="61">
        <f>IF(Fall2022FON[[#This Row],[Fall 2022
Advance FON]]&gt;Fall2022FON[[#This Row],[Fall 2022 
P2 FON]],Fall2022FON[[#This Row],[Fall 2022 
P2 FON]],Fall2022FON[[#This Row],[Fall 2022
Advance FON]])</f>
        <v>233.38229999999999</v>
      </c>
    </row>
    <row r="51" spans="2:7">
      <c r="B51" s="130" t="s">
        <v>58</v>
      </c>
      <c r="C51" s="61">
        <v>480.00289999999995</v>
      </c>
      <c r="D51" s="61">
        <v>566.20000000000005</v>
      </c>
      <c r="E51" s="61">
        <v>507.00289999999995</v>
      </c>
      <c r="F51" s="61">
        <v>549.00289999999995</v>
      </c>
      <c r="G51" s="61">
        <f>IF(Fall2022FON[[#This Row],[Fall 2022
Advance FON]]&gt;Fall2022FON[[#This Row],[Fall 2022 
P2 FON]],Fall2022FON[[#This Row],[Fall 2022 
P2 FON]],Fall2022FON[[#This Row],[Fall 2022
Advance FON]])</f>
        <v>507.00289999999995</v>
      </c>
    </row>
    <row r="52" spans="2:7">
      <c r="B52" s="130" t="s">
        <v>59</v>
      </c>
      <c r="C52" s="61">
        <v>178.06739999999999</v>
      </c>
      <c r="D52" s="61">
        <v>429.1</v>
      </c>
      <c r="E52" s="61">
        <v>188.06739999999999</v>
      </c>
      <c r="F52" s="61">
        <v>206.06739999999999</v>
      </c>
      <c r="G52" s="61">
        <f>IF(Fall2022FON[[#This Row],[Fall 2022
Advance FON]]&gt;Fall2022FON[[#This Row],[Fall 2022 
P2 FON]],Fall2022FON[[#This Row],[Fall 2022 
P2 FON]],Fall2022FON[[#This Row],[Fall 2022
Advance FON]])</f>
        <v>188.06739999999999</v>
      </c>
    </row>
    <row r="53" spans="2:7">
      <c r="B53" s="130" t="s">
        <v>60</v>
      </c>
      <c r="C53" s="61">
        <v>208.05119999999999</v>
      </c>
      <c r="D53" s="61">
        <v>211</v>
      </c>
      <c r="E53" s="61">
        <v>244.05119999999999</v>
      </c>
      <c r="F53" s="61">
        <v>263.05119999999999</v>
      </c>
      <c r="G53" s="61">
        <f>IF(Fall2022FON[[#This Row],[Fall 2022
Advance FON]]&gt;Fall2022FON[[#This Row],[Fall 2022 
P2 FON]],Fall2022FON[[#This Row],[Fall 2022 
P2 FON]],Fall2022FON[[#This Row],[Fall 2022
Advance FON]])</f>
        <v>244.05119999999999</v>
      </c>
    </row>
    <row r="54" spans="2:7">
      <c r="B54" s="130" t="s">
        <v>61</v>
      </c>
      <c r="C54" s="61">
        <v>181.82929999999999</v>
      </c>
      <c r="D54" s="61">
        <v>224.6</v>
      </c>
      <c r="E54" s="61">
        <v>200.82929999999999</v>
      </c>
      <c r="F54" s="61">
        <v>212.82929999999999</v>
      </c>
      <c r="G54" s="61">
        <f>IF(Fall2022FON[[#This Row],[Fall 2022
Advance FON]]&gt;Fall2022FON[[#This Row],[Fall 2022 
P2 FON]],Fall2022FON[[#This Row],[Fall 2022 
P2 FON]],Fall2022FON[[#This Row],[Fall 2022
Advance FON]])</f>
        <v>200.82929999999999</v>
      </c>
    </row>
    <row r="55" spans="2:7">
      <c r="B55" s="130" t="s">
        <v>62</v>
      </c>
      <c r="C55" s="61">
        <v>113.1765</v>
      </c>
      <c r="D55" s="61">
        <v>132.69999999999999</v>
      </c>
      <c r="E55" s="61">
        <v>122.1765</v>
      </c>
      <c r="F55" s="61">
        <v>133.1765</v>
      </c>
      <c r="G55" s="61">
        <f>IF(Fall2022FON[[#This Row],[Fall 2022
Advance FON]]&gt;Fall2022FON[[#This Row],[Fall 2022 
P2 FON]],Fall2022FON[[#This Row],[Fall 2022 
P2 FON]],Fall2022FON[[#This Row],[Fall 2022
Advance FON]])</f>
        <v>122.1765</v>
      </c>
    </row>
    <row r="56" spans="2:7">
      <c r="B56" s="130" t="s">
        <v>63</v>
      </c>
      <c r="C56" s="61">
        <v>249.73450000000003</v>
      </c>
      <c r="D56" s="61">
        <v>349.9</v>
      </c>
      <c r="E56" s="61">
        <v>263.73450000000003</v>
      </c>
      <c r="F56" s="61">
        <v>266.73450000000003</v>
      </c>
      <c r="G56" s="61">
        <f>IF(Fall2022FON[[#This Row],[Fall 2022
Advance FON]]&gt;Fall2022FON[[#This Row],[Fall 2022 
P2 FON]],Fall2022FON[[#This Row],[Fall 2022 
P2 FON]],Fall2022FON[[#This Row],[Fall 2022
Advance FON]])</f>
        <v>263.73450000000003</v>
      </c>
    </row>
    <row r="57" spans="2:7">
      <c r="B57" s="130" t="s">
        <v>64</v>
      </c>
      <c r="C57" s="61">
        <v>195.14959999999999</v>
      </c>
      <c r="D57" s="61">
        <v>198.3</v>
      </c>
      <c r="E57" s="61">
        <v>205.14959999999999</v>
      </c>
      <c r="F57" s="61">
        <v>222.14959999999999</v>
      </c>
      <c r="G57" s="61">
        <f>IF(Fall2022FON[[#This Row],[Fall 2022
Advance FON]]&gt;Fall2022FON[[#This Row],[Fall 2022 
P2 FON]],Fall2022FON[[#This Row],[Fall 2022 
P2 FON]],Fall2022FON[[#This Row],[Fall 2022
Advance FON]])</f>
        <v>205.14959999999999</v>
      </c>
    </row>
    <row r="58" spans="2:7">
      <c r="B58" s="130" t="s">
        <v>65</v>
      </c>
      <c r="C58" s="61">
        <v>204.6576</v>
      </c>
      <c r="D58" s="61">
        <v>217.8</v>
      </c>
      <c r="E58" s="61">
        <v>217.6576</v>
      </c>
      <c r="F58" s="61">
        <v>237.6576</v>
      </c>
      <c r="G58" s="61">
        <f>IF(Fall2022FON[[#This Row],[Fall 2022
Advance FON]]&gt;Fall2022FON[[#This Row],[Fall 2022 
P2 FON]],Fall2022FON[[#This Row],[Fall 2022 
P2 FON]],Fall2022FON[[#This Row],[Fall 2022
Advance FON]])</f>
        <v>217.6576</v>
      </c>
    </row>
    <row r="59" spans="2:7">
      <c r="B59" s="130" t="s">
        <v>66</v>
      </c>
      <c r="C59" s="61">
        <v>244.57999999999998</v>
      </c>
      <c r="D59" s="61">
        <v>323.7</v>
      </c>
      <c r="E59" s="61">
        <v>262.58</v>
      </c>
      <c r="F59" s="61">
        <v>290.58</v>
      </c>
      <c r="G59" s="61">
        <f>IF(Fall2022FON[[#This Row],[Fall 2022
Advance FON]]&gt;Fall2022FON[[#This Row],[Fall 2022 
P2 FON]],Fall2022FON[[#This Row],[Fall 2022 
P2 FON]],Fall2022FON[[#This Row],[Fall 2022
Advance FON]])</f>
        <v>262.58</v>
      </c>
    </row>
    <row r="60" spans="2:7">
      <c r="B60" s="130" t="s">
        <v>67</v>
      </c>
      <c r="C60" s="61">
        <v>190.28219999999999</v>
      </c>
      <c r="D60" s="61">
        <v>202.6</v>
      </c>
      <c r="E60" s="61">
        <v>207.28219999999999</v>
      </c>
      <c r="F60" s="61">
        <v>219.28219999999999</v>
      </c>
      <c r="G60" s="61">
        <f>IF(Fall2022FON[[#This Row],[Fall 2022
Advance FON]]&gt;Fall2022FON[[#This Row],[Fall 2022 
P2 FON]],Fall2022FON[[#This Row],[Fall 2022 
P2 FON]],Fall2022FON[[#This Row],[Fall 2022
Advance FON]])</f>
        <v>207.28219999999999</v>
      </c>
    </row>
    <row r="61" spans="2:7">
      <c r="B61" s="130" t="s">
        <v>68</v>
      </c>
      <c r="C61" s="61">
        <v>103.30240000000001</v>
      </c>
      <c r="D61" s="61">
        <v>130</v>
      </c>
      <c r="E61" s="61">
        <v>116.30240000000001</v>
      </c>
      <c r="F61" s="61">
        <v>126.30240000000001</v>
      </c>
      <c r="G61" s="61">
        <f>IF(Fall2022FON[[#This Row],[Fall 2022
Advance FON]]&gt;Fall2022FON[[#This Row],[Fall 2022 
P2 FON]],Fall2022FON[[#This Row],[Fall 2022 
P2 FON]],Fall2022FON[[#This Row],[Fall 2022
Advance FON]])</f>
        <v>116.30240000000001</v>
      </c>
    </row>
    <row r="62" spans="2:7">
      <c r="B62" s="130" t="s">
        <v>69</v>
      </c>
      <c r="C62" s="61">
        <v>184.73349999999999</v>
      </c>
      <c r="D62" s="61">
        <v>241.2</v>
      </c>
      <c r="E62" s="61">
        <v>205.73349999999999</v>
      </c>
      <c r="F62" s="61">
        <v>220.73349999999999</v>
      </c>
      <c r="G62" s="61">
        <f>IF(Fall2022FON[[#This Row],[Fall 2022
Advance FON]]&gt;Fall2022FON[[#This Row],[Fall 2022 
P2 FON]],Fall2022FON[[#This Row],[Fall 2022 
P2 FON]],Fall2022FON[[#This Row],[Fall 2022
Advance FON]])</f>
        <v>205.73349999999999</v>
      </c>
    </row>
    <row r="63" spans="2:7">
      <c r="B63" s="130" t="s">
        <v>159</v>
      </c>
      <c r="C63" s="61">
        <v>22.056600000000003</v>
      </c>
      <c r="D63" s="61">
        <v>35</v>
      </c>
      <c r="E63" s="61">
        <v>24.056600000000003</v>
      </c>
      <c r="F63" s="61">
        <v>25.056600000000003</v>
      </c>
      <c r="G63" s="61">
        <f>IF(Fall2022FON[[#This Row],[Fall 2022
Advance FON]]&gt;Fall2022FON[[#This Row],[Fall 2022 
P2 FON]],Fall2022FON[[#This Row],[Fall 2022 
P2 FON]],Fall2022FON[[#This Row],[Fall 2022
Advance FON]])</f>
        <v>24.056600000000003</v>
      </c>
    </row>
    <row r="64" spans="2:7">
      <c r="B64" s="130" t="s">
        <v>70</v>
      </c>
      <c r="C64" s="61">
        <v>113.7518</v>
      </c>
      <c r="D64" s="61">
        <v>130</v>
      </c>
      <c r="E64" s="61">
        <v>126.7518</v>
      </c>
      <c r="F64" s="61">
        <v>136.7518</v>
      </c>
      <c r="G64" s="61">
        <f>IF(Fall2022FON[[#This Row],[Fall 2022
Advance FON]]&gt;Fall2022FON[[#This Row],[Fall 2022 
P2 FON]],Fall2022FON[[#This Row],[Fall 2022 
P2 FON]],Fall2022FON[[#This Row],[Fall 2022
Advance FON]])</f>
        <v>126.7518</v>
      </c>
    </row>
    <row r="65" spans="2:7">
      <c r="B65" s="130" t="s">
        <v>160</v>
      </c>
      <c r="C65" s="61">
        <v>265.63409999999999</v>
      </c>
      <c r="D65" s="61">
        <v>295.10000000000002</v>
      </c>
      <c r="E65" s="61">
        <v>284.63409999999999</v>
      </c>
      <c r="F65" s="61">
        <v>308.63409999999999</v>
      </c>
      <c r="G65" s="61">
        <f>IF(Fall2022FON[[#This Row],[Fall 2022
Advance FON]]&gt;Fall2022FON[[#This Row],[Fall 2022 
P2 FON]],Fall2022FON[[#This Row],[Fall 2022 
P2 FON]],Fall2022FON[[#This Row],[Fall 2022
Advance FON]])</f>
        <v>284.63409999999999</v>
      </c>
    </row>
    <row r="66" spans="2:7">
      <c r="B66" s="130" t="s">
        <v>161</v>
      </c>
      <c r="C66" s="61">
        <v>362.79559999999998</v>
      </c>
      <c r="D66" s="61">
        <v>386.2</v>
      </c>
      <c r="E66" s="61">
        <v>389.79559999999998</v>
      </c>
      <c r="F66" s="61">
        <v>417.79559999999998</v>
      </c>
      <c r="G66" s="61">
        <f>IF(Fall2022FON[[#This Row],[Fall 2022
Advance FON]]&gt;Fall2022FON[[#This Row],[Fall 2022 
P2 FON]],Fall2022FON[[#This Row],[Fall 2022 
P2 FON]],Fall2022FON[[#This Row],[Fall 2022
Advance FON]])</f>
        <v>389.79559999999998</v>
      </c>
    </row>
    <row r="67" spans="2:7">
      <c r="B67" s="130" t="s">
        <v>71</v>
      </c>
      <c r="C67" s="61">
        <v>237.16680000000002</v>
      </c>
      <c r="D67" s="61">
        <v>264.39999999999998</v>
      </c>
      <c r="E67" s="61">
        <v>257.16680000000002</v>
      </c>
      <c r="F67" s="61">
        <v>276.16680000000002</v>
      </c>
      <c r="G67" s="61">
        <f>IF(Fall2022FON[[#This Row],[Fall 2022
Advance FON]]&gt;Fall2022FON[[#This Row],[Fall 2022 
P2 FON]],Fall2022FON[[#This Row],[Fall 2022 
P2 FON]],Fall2022FON[[#This Row],[Fall 2022
Advance FON]])</f>
        <v>257.16680000000002</v>
      </c>
    </row>
    <row r="68" spans="2:7">
      <c r="B68" s="130" t="s">
        <v>72</v>
      </c>
      <c r="C68" s="61">
        <v>533.25130000000001</v>
      </c>
      <c r="D68" s="61">
        <v>612.9</v>
      </c>
      <c r="E68" s="61">
        <v>592.25130000000001</v>
      </c>
      <c r="F68" s="61">
        <v>635.25130000000001</v>
      </c>
      <c r="G68" s="61">
        <f>IF(Fall2022FON[[#This Row],[Fall 2022
Advance FON]]&gt;Fall2022FON[[#This Row],[Fall 2022 
P2 FON]],Fall2022FON[[#This Row],[Fall 2022 
P2 FON]],Fall2022FON[[#This Row],[Fall 2022
Advance FON]])</f>
        <v>592.25130000000001</v>
      </c>
    </row>
    <row r="69" spans="2:7">
      <c r="B69" s="130" t="s">
        <v>73</v>
      </c>
      <c r="C69" s="61">
        <v>383.83260000000001</v>
      </c>
      <c r="D69" s="61">
        <v>436.9</v>
      </c>
      <c r="E69" s="61">
        <v>413.83260000000001</v>
      </c>
      <c r="F69" s="61">
        <v>450.83260000000001</v>
      </c>
      <c r="G69" s="61">
        <f>IF(Fall2022FON[[#This Row],[Fall 2022
Advance FON]]&gt;Fall2022FON[[#This Row],[Fall 2022 
P2 FON]],Fall2022FON[[#This Row],[Fall 2022 
P2 FON]],Fall2022FON[[#This Row],[Fall 2022
Advance FON]])</f>
        <v>413.83260000000001</v>
      </c>
    </row>
    <row r="70" spans="2:7">
      <c r="B70" s="130" t="s">
        <v>74</v>
      </c>
      <c r="C70" s="61">
        <v>119.01429999999999</v>
      </c>
      <c r="D70" s="61">
        <v>118</v>
      </c>
      <c r="E70" s="61">
        <v>110</v>
      </c>
      <c r="F70" s="61">
        <v>140.01429999999999</v>
      </c>
      <c r="G70" s="61">
        <f>IF(Fall2022FON[[#This Row],[Fall 2022
Advance FON]]&gt;Fall2022FON[[#This Row],[Fall 2022 
P2 FON]],Fall2022FON[[#This Row],[Fall 2022 
P2 FON]],Fall2022FON[[#This Row],[Fall 2022
Advance FON]])</f>
        <v>110</v>
      </c>
    </row>
    <row r="71" spans="2:7">
      <c r="B71" s="130" t="s">
        <v>75</v>
      </c>
      <c r="C71" s="61">
        <v>84.5732</v>
      </c>
      <c r="D71" s="61">
        <v>90</v>
      </c>
      <c r="E71" s="61">
        <v>82.5732</v>
      </c>
      <c r="F71" s="61">
        <v>95.5732</v>
      </c>
      <c r="G71" s="61">
        <f>IF(Fall2022FON[[#This Row],[Fall 2022
Advance FON]]&gt;Fall2022FON[[#This Row],[Fall 2022 
P2 FON]],Fall2022FON[[#This Row],[Fall 2022 
P2 FON]],Fall2022FON[[#This Row],[Fall 2022
Advance FON]])</f>
        <v>82.5732</v>
      </c>
    </row>
    <row r="72" spans="2:7">
      <c r="B72" s="130" t="s">
        <v>76</v>
      </c>
      <c r="C72" s="61">
        <v>57.719900000000003</v>
      </c>
      <c r="D72" s="61">
        <v>59</v>
      </c>
      <c r="E72" s="61">
        <v>61.719900000000003</v>
      </c>
      <c r="F72" s="61">
        <v>64.719899999999996</v>
      </c>
      <c r="G72" s="61">
        <f>IF(Fall2022FON[[#This Row],[Fall 2022
Advance FON]]&gt;Fall2022FON[[#This Row],[Fall 2022 
P2 FON]],Fall2022FON[[#This Row],[Fall 2022 
P2 FON]],Fall2022FON[[#This Row],[Fall 2022
Advance FON]])</f>
        <v>61.719900000000003</v>
      </c>
    </row>
    <row r="73" spans="2:7">
      <c r="B73" s="130" t="s">
        <v>77</v>
      </c>
      <c r="C73" s="61">
        <v>212.1437</v>
      </c>
      <c r="D73" s="61">
        <v>299</v>
      </c>
      <c r="E73" s="61">
        <v>224.1437</v>
      </c>
      <c r="F73" s="61">
        <v>217.1437</v>
      </c>
      <c r="G73" s="61">
        <f>IF(Fall2022FON[[#This Row],[Fall 2022
Advance FON]]&gt;Fall2022FON[[#This Row],[Fall 2022 
P2 FON]],Fall2022FON[[#This Row],[Fall 2022 
P2 FON]],Fall2022FON[[#This Row],[Fall 2022
Advance FON]])</f>
        <v>217.1437</v>
      </c>
    </row>
    <row r="74" spans="2:7">
      <c r="B74" s="130" t="s">
        <v>78</v>
      </c>
      <c r="C74" s="61">
        <v>265.23689999999999</v>
      </c>
      <c r="D74" s="61">
        <v>290</v>
      </c>
      <c r="E74" s="61">
        <v>288.23689999999999</v>
      </c>
      <c r="F74" s="61">
        <v>309.23689999999999</v>
      </c>
      <c r="G74" s="61">
        <f>IF(Fall2022FON[[#This Row],[Fall 2022
Advance FON]]&gt;Fall2022FON[[#This Row],[Fall 2022 
P2 FON]],Fall2022FON[[#This Row],[Fall 2022 
P2 FON]],Fall2022FON[[#This Row],[Fall 2022
Advance FON]])</f>
        <v>288.23689999999999</v>
      </c>
    </row>
    <row r="75" spans="2:7">
      <c r="B75" s="130" t="s">
        <v>79</v>
      </c>
      <c r="C75" s="61">
        <v>89.106399999999994</v>
      </c>
      <c r="D75" s="61">
        <v>124.8</v>
      </c>
      <c r="E75" s="61">
        <v>97.106399999999994</v>
      </c>
      <c r="F75" s="61">
        <v>106.10639999999999</v>
      </c>
      <c r="G75" s="61">
        <f>IF(Fall2022FON[[#This Row],[Fall 2022
Advance FON]]&gt;Fall2022FON[[#This Row],[Fall 2022 
P2 FON]],Fall2022FON[[#This Row],[Fall 2022 
P2 FON]],Fall2022FON[[#This Row],[Fall 2022
Advance FON]])</f>
        <v>97.106399999999994</v>
      </c>
    </row>
    <row r="76" spans="2:7">
      <c r="B76" s="131" t="s">
        <v>226</v>
      </c>
      <c r="C76" s="132">
        <f>SUBTOTAL(109,Fall2022FON[Fall 2021
Compliance FON])</f>
        <v>15976.251999999997</v>
      </c>
      <c r="D76" s="132">
        <f>SUBTOTAL(109,Fall2022FON[Fall 2021
Reported FON])</f>
        <v>18515.500000000007</v>
      </c>
      <c r="E76" s="132">
        <f>SUBTOTAL(109,Fall2022FON[Fall 2022
Advance FON])</f>
        <v>17116.237699999998</v>
      </c>
      <c r="F76" s="132">
        <f>SUBTOTAL(109,Fall2022FON[Fall 2022 
P2 FON])</f>
        <v>18432.251999999997</v>
      </c>
      <c r="G76" s="132">
        <f>SUBTOTAL(109,Fall2022FON[Fall 2022
Compliance FON])</f>
        <v>17072.237699999998</v>
      </c>
    </row>
    <row r="78" spans="2:7" s="121" customFormat="1">
      <c r="B78" s="120">
        <v>1</v>
      </c>
      <c r="C78" s="121">
        <v>2</v>
      </c>
      <c r="D78" s="121">
        <v>3</v>
      </c>
      <c r="E78" s="121">
        <v>4</v>
      </c>
      <c r="F78" s="121">
        <v>5</v>
      </c>
      <c r="G78" s="121">
        <v>6</v>
      </c>
    </row>
  </sheetData>
  <pageMargins left="0.7" right="0.7" top="0.75" bottom="0.75" header="0.3" footer="0.3"/>
  <pageSetup scale="84" fitToHeight="0" orientation="portrait" r:id="rId1"/>
  <headerFooter>
    <oddHeader>&amp;LCalifornia Community Colleges</oddHeader>
    <oddFooter>&amp;R&amp;D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zoomScale="96" zoomScaleNormal="96" workbookViewId="0">
      <pane xSplit="2" ySplit="3" topLeftCell="C4" activePane="bottomRight" state="frozen"/>
      <selection pane="topRight" activeCell="C1" sqref="C1"/>
      <selection pane="bottomLeft" activeCell="A5" sqref="A5"/>
      <selection pane="bottomRight"/>
    </sheetView>
  </sheetViews>
  <sheetFormatPr defaultColWidth="8.88671875" defaultRowHeight="14.4"/>
  <cols>
    <col min="1" max="1" width="8.88671875" style="42"/>
    <col min="2" max="2" width="20.6640625" style="58" customWidth="1"/>
    <col min="3" max="5" width="20.6640625" style="42" customWidth="1"/>
    <col min="6" max="6" width="17.88671875" style="42" customWidth="1"/>
    <col min="7" max="8" width="20.6640625" style="42" customWidth="1"/>
    <col min="9" max="9" width="20.6640625" style="62" customWidth="1"/>
    <col min="10" max="10" width="20.6640625" style="42" customWidth="1"/>
    <col min="11" max="11" width="25.44140625" style="42" customWidth="1"/>
    <col min="12" max="12" width="22.33203125" style="42" customWidth="1"/>
    <col min="13" max="16384" width="8.88671875" style="42"/>
  </cols>
  <sheetData>
    <row r="1" spans="2:12">
      <c r="F1" s="108"/>
    </row>
    <row r="2" spans="2:12" ht="18" thickBot="1">
      <c r="B2" s="77" t="s">
        <v>222</v>
      </c>
    </row>
    <row r="3" spans="2:12" s="60" customFormat="1" ht="62.25" customHeight="1" thickTop="1" thickBot="1">
      <c r="B3" s="109" t="s">
        <v>155</v>
      </c>
      <c r="C3" s="110" t="s">
        <v>249</v>
      </c>
      <c r="D3" s="110" t="s">
        <v>223</v>
      </c>
      <c r="E3" s="110" t="s">
        <v>250</v>
      </c>
      <c r="F3" s="110" t="s">
        <v>251</v>
      </c>
      <c r="G3" s="110" t="s">
        <v>165</v>
      </c>
      <c r="H3" s="110" t="s">
        <v>164</v>
      </c>
      <c r="I3" s="111" t="s">
        <v>163</v>
      </c>
      <c r="J3" s="110" t="s">
        <v>162</v>
      </c>
      <c r="K3" s="110" t="s">
        <v>224</v>
      </c>
      <c r="L3" s="112" t="s">
        <v>225</v>
      </c>
    </row>
    <row r="4" spans="2:12" ht="15" thickTop="1">
      <c r="B4" s="70" t="s">
        <v>14</v>
      </c>
      <c r="C4" s="69">
        <v>140.6241</v>
      </c>
      <c r="D4" s="68">
        <v>8502.1066666666666</v>
      </c>
      <c r="E4" s="67">
        <v>8333.2099999999991</v>
      </c>
      <c r="F4" s="66">
        <v>0</v>
      </c>
      <c r="G4" s="65">
        <f>'Fall 2022 P2 FON Calculation'!$E4*(1-'Fall 2022 P2 FON Calculation'!$F4)</f>
        <v>8333.2099999999991</v>
      </c>
      <c r="H4" s="113">
        <f>G4-D4</f>
        <v>-168.89666666666744</v>
      </c>
      <c r="I4" s="64">
        <f t="shared" ref="I4:I67" si="0">H4/D4</f>
        <v>-1.9865272606946136E-2</v>
      </c>
      <c r="J4" s="63">
        <f>IF(C4*I4&gt;=0,ROUNDDOWN(C4*I4,0),ROUNDUP(C4*I4,0))</f>
        <v>-3</v>
      </c>
      <c r="K4" s="114">
        <v>8</v>
      </c>
      <c r="L4" s="115">
        <f>Fall_FON_Calculations[[#This Row],[Base FON:
2020-21 R1 FON
(a)]]+Fall_FON_Calculations[[#This Row],[FTES Adjustment
(h = a*g)]]+Fall_FON_Calculations[[#This Row],[Increase due to 2021-22 Full-Time Faculty Funds
(See Fiscal Memo FS 21-06)* 
(i)]]</f>
        <v>145.6241</v>
      </c>
    </row>
    <row r="5" spans="2:12">
      <c r="B5" s="76" t="s">
        <v>15</v>
      </c>
      <c r="C5" s="75">
        <v>159.36279999999999</v>
      </c>
      <c r="D5" s="74">
        <v>10977.156666666668</v>
      </c>
      <c r="E5" s="67">
        <v>11074.39</v>
      </c>
      <c r="F5" s="66">
        <v>0</v>
      </c>
      <c r="G5" s="73">
        <f>'Fall 2022 P2 FON Calculation'!$E5*(1-'Fall 2022 P2 FON Calculation'!$F5)</f>
        <v>11074.39</v>
      </c>
      <c r="H5" s="71">
        <f t="shared" ref="H5:H68" si="1">G5-D5</f>
        <v>97.233333333331757</v>
      </c>
      <c r="I5" s="72">
        <f t="shared" si="0"/>
        <v>8.8577886137483457E-3</v>
      </c>
      <c r="J5" s="71">
        <f t="shared" ref="J5:J68" si="2">IF(C5*I5&gt;=0,ROUNDDOWN(C5*I5,0),ROUNDUP(C5*I5,0))</f>
        <v>1</v>
      </c>
      <c r="K5" s="116">
        <v>11</v>
      </c>
      <c r="L5" s="115">
        <f>Fall_FON_Calculations[[#This Row],[Base FON:
2020-21 R1 FON
(a)]]+Fall_FON_Calculations[[#This Row],[FTES Adjustment
(h = a*g)]]+Fall_FON_Calculations[[#This Row],[Increase due to 2021-22 Full-Time Faculty Funds
(See Fiscal Memo FS 21-06)* 
(i)]]</f>
        <v>171.36279999999999</v>
      </c>
    </row>
    <row r="6" spans="2:12">
      <c r="B6" s="70" t="s">
        <v>16</v>
      </c>
      <c r="C6" s="69">
        <v>29.333500000000001</v>
      </c>
      <c r="D6" s="68">
        <v>2528.9066666666668</v>
      </c>
      <c r="E6" s="67">
        <v>2522.5700000000002</v>
      </c>
      <c r="F6" s="66">
        <v>0</v>
      </c>
      <c r="G6" s="65">
        <f>'Fall 2022 P2 FON Calculation'!$E6*(1-'Fall 2022 P2 FON Calculation'!$F6)</f>
        <v>2522.5700000000002</v>
      </c>
      <c r="H6" s="63">
        <f t="shared" si="1"/>
        <v>-6.3366666666665878</v>
      </c>
      <c r="I6" s="64">
        <f t="shared" si="0"/>
        <v>-2.5056941603222162E-3</v>
      </c>
      <c r="J6" s="63">
        <f t="shared" si="2"/>
        <v>-1</v>
      </c>
      <c r="K6" s="114">
        <v>2</v>
      </c>
      <c r="L6" s="115">
        <f>Fall_FON_Calculations[[#This Row],[Base FON:
2020-21 R1 FON
(a)]]+Fall_FON_Calculations[[#This Row],[FTES Adjustment
(h = a*g)]]+Fall_FON_Calculations[[#This Row],[Increase due to 2021-22 Full-Time Faculty Funds
(See Fiscal Memo FS 21-06)* 
(i)]]</f>
        <v>30.333500000000001</v>
      </c>
    </row>
    <row r="7" spans="2:12">
      <c r="B7" s="76" t="s">
        <v>17</v>
      </c>
      <c r="C7" s="75">
        <v>158.45410000000001</v>
      </c>
      <c r="D7" s="74">
        <v>9162</v>
      </c>
      <c r="E7" s="67">
        <v>9162</v>
      </c>
      <c r="F7" s="66">
        <v>0</v>
      </c>
      <c r="G7" s="73">
        <f>'Fall 2022 P2 FON Calculation'!$E7*(1-'Fall 2022 P2 FON Calculation'!$F7)</f>
        <v>9162</v>
      </c>
      <c r="H7" s="71">
        <f t="shared" si="1"/>
        <v>0</v>
      </c>
      <c r="I7" s="72">
        <f t="shared" si="0"/>
        <v>0</v>
      </c>
      <c r="J7" s="71">
        <f t="shared" si="2"/>
        <v>0</v>
      </c>
      <c r="K7" s="116">
        <v>11</v>
      </c>
      <c r="L7" s="115">
        <f>Fall_FON_Calculations[[#This Row],[Base FON:
2020-21 R1 FON
(a)]]+Fall_FON_Calculations[[#This Row],[FTES Adjustment
(h = a*g)]]+Fall_FON_Calculations[[#This Row],[Increase due to 2021-22 Full-Time Faculty Funds
(See Fiscal Memo FS 21-06)* 
(i)]]</f>
        <v>169.45410000000001</v>
      </c>
    </row>
    <row r="8" spans="2:12">
      <c r="B8" s="70" t="s">
        <v>18</v>
      </c>
      <c r="C8" s="69">
        <v>165.76750000000001</v>
      </c>
      <c r="D8" s="68">
        <v>9002.7966666666671</v>
      </c>
      <c r="E8" s="67">
        <v>9002.7966666666671</v>
      </c>
      <c r="F8" s="66">
        <v>0</v>
      </c>
      <c r="G8" s="65">
        <f>'Fall 2022 P2 FON Calculation'!$E8*(1-'Fall 2022 P2 FON Calculation'!$F8)</f>
        <v>9002.7966666666671</v>
      </c>
      <c r="H8" s="63">
        <f t="shared" si="1"/>
        <v>0</v>
      </c>
      <c r="I8" s="64">
        <f t="shared" si="0"/>
        <v>0</v>
      </c>
      <c r="J8" s="63">
        <f t="shared" si="2"/>
        <v>0</v>
      </c>
      <c r="K8" s="114">
        <v>11</v>
      </c>
      <c r="L8" s="115">
        <f>Fall_FON_Calculations[[#This Row],[Base FON:
2020-21 R1 FON
(a)]]+Fall_FON_Calculations[[#This Row],[FTES Adjustment
(h = a*g)]]+Fall_FON_Calculations[[#This Row],[Increase due to 2021-22 Full-Time Faculty Funds
(See Fiscal Memo FS 21-06)* 
(i)]]</f>
        <v>176.76750000000001</v>
      </c>
    </row>
    <row r="9" spans="2:12" s="58" customFormat="1">
      <c r="B9" s="76" t="s">
        <v>19</v>
      </c>
      <c r="C9" s="75">
        <v>287.9939</v>
      </c>
      <c r="D9" s="74">
        <v>16360.376666666667</v>
      </c>
      <c r="E9" s="67">
        <v>16902.240000000002</v>
      </c>
      <c r="F9" s="66">
        <v>0</v>
      </c>
      <c r="G9" s="73">
        <f>'Fall 2022 P2 FON Calculation'!$E9*(1-'Fall 2022 P2 FON Calculation'!$F9)</f>
        <v>16902.240000000002</v>
      </c>
      <c r="H9" s="71">
        <f t="shared" si="1"/>
        <v>541.86333333333459</v>
      </c>
      <c r="I9" s="72">
        <f t="shared" si="0"/>
        <v>3.3120468090282434E-2</v>
      </c>
      <c r="J9" s="71">
        <f t="shared" si="2"/>
        <v>9</v>
      </c>
      <c r="K9" s="116">
        <v>18</v>
      </c>
      <c r="L9" s="117">
        <f>Fall_FON_Calculations[[#This Row],[Base FON:
2020-21 R1 FON
(a)]]+Fall_FON_Calculations[[#This Row],[FTES Adjustment
(h = a*g)]]+Fall_FON_Calculations[[#This Row],[Increase due to 2021-22 Full-Time Faculty Funds
(See Fiscal Memo FS 21-06)* 
(i)]]</f>
        <v>314.9939</v>
      </c>
    </row>
    <row r="10" spans="2:12">
      <c r="B10" s="70" t="s">
        <v>20</v>
      </c>
      <c r="C10" s="69">
        <v>297.96730000000002</v>
      </c>
      <c r="D10" s="68">
        <v>16374.936666666665</v>
      </c>
      <c r="E10" s="67">
        <v>16803.900000000001</v>
      </c>
      <c r="F10" s="66">
        <v>0</v>
      </c>
      <c r="G10" s="65">
        <f>'Fall 2022 P2 FON Calculation'!$E10*(1-'Fall 2022 P2 FON Calculation'!$F10)</f>
        <v>16803.900000000001</v>
      </c>
      <c r="H10" s="63">
        <f t="shared" si="1"/>
        <v>428.96333333333678</v>
      </c>
      <c r="I10" s="64">
        <f t="shared" si="0"/>
        <v>2.6196335415852205E-2</v>
      </c>
      <c r="J10" s="63">
        <f t="shared" si="2"/>
        <v>7</v>
      </c>
      <c r="K10" s="114">
        <v>18</v>
      </c>
      <c r="L10" s="115">
        <f>Fall_FON_Calculations[[#This Row],[Base FON:
2020-21 R1 FON
(a)]]+Fall_FON_Calculations[[#This Row],[FTES Adjustment
(h = a*g)]]+Fall_FON_Calculations[[#This Row],[Increase due to 2021-22 Full-Time Faculty Funds
(See Fiscal Memo FS 21-06)* 
(i)]]</f>
        <v>322.96730000000002</v>
      </c>
    </row>
    <row r="11" spans="2:12">
      <c r="B11" s="76" t="s">
        <v>21</v>
      </c>
      <c r="C11" s="75">
        <v>255.58510000000001</v>
      </c>
      <c r="D11" s="74">
        <v>16387.538248035769</v>
      </c>
      <c r="E11" s="67">
        <v>16491.930828766366</v>
      </c>
      <c r="F11" s="66">
        <v>0</v>
      </c>
      <c r="G11" s="73">
        <f>'Fall 2022 P2 FON Calculation'!$E11*(1-'Fall 2022 P2 FON Calculation'!$F11)</f>
        <v>16491.930828766366</v>
      </c>
      <c r="H11" s="71">
        <f t="shared" si="1"/>
        <v>104.39258073059682</v>
      </c>
      <c r="I11" s="72">
        <f t="shared" si="0"/>
        <v>6.37024177460635E-3</v>
      </c>
      <c r="J11" s="71">
        <f t="shared" si="2"/>
        <v>1</v>
      </c>
      <c r="K11" s="116">
        <v>13</v>
      </c>
      <c r="L11" s="115">
        <f>Fall_FON_Calculations[[#This Row],[Base FON:
2020-21 R1 FON
(a)]]+Fall_FON_Calculations[[#This Row],[FTES Adjustment
(h = a*g)]]+Fall_FON_Calculations[[#This Row],[Increase due to 2021-22 Full-Time Faculty Funds
(See Fiscal Memo FS 21-06)* 
(i)]]</f>
        <v>269.58510000000001</v>
      </c>
    </row>
    <row r="12" spans="2:12">
      <c r="B12" s="70" t="s">
        <v>22</v>
      </c>
      <c r="C12" s="69">
        <v>176.0453</v>
      </c>
      <c r="D12" s="68">
        <v>11149.353333333334</v>
      </c>
      <c r="E12" s="67">
        <v>10267.180000000002</v>
      </c>
      <c r="F12" s="66">
        <v>0</v>
      </c>
      <c r="G12" s="65">
        <f>'Fall 2022 P2 FON Calculation'!$E12*(1-'Fall 2022 P2 FON Calculation'!$F12)</f>
        <v>10267.180000000002</v>
      </c>
      <c r="H12" s="63">
        <f t="shared" si="1"/>
        <v>-882.17333333333227</v>
      </c>
      <c r="I12" s="64">
        <f t="shared" si="0"/>
        <v>-7.9123273517208367E-2</v>
      </c>
      <c r="J12" s="63">
        <f t="shared" si="2"/>
        <v>-14</v>
      </c>
      <c r="K12" s="114">
        <v>12</v>
      </c>
      <c r="L12" s="115">
        <f>Fall_FON_Calculations[[#This Row],[Base FON:
2020-21 R1 FON
(a)]]+Fall_FON_Calculations[[#This Row],[FTES Adjustment
(h = a*g)]]+Fall_FON_Calculations[[#This Row],[Increase due to 2021-22 Full-Time Faculty Funds
(See Fiscal Memo FS 21-06)* 
(i)]]</f>
        <v>174.0453</v>
      </c>
    </row>
    <row r="13" spans="2:12">
      <c r="B13" s="76" t="s">
        <v>23</v>
      </c>
      <c r="C13" s="75">
        <v>400.86709999999999</v>
      </c>
      <c r="D13" s="74">
        <v>28706.176666666666</v>
      </c>
      <c r="E13" s="67">
        <v>27972.5</v>
      </c>
      <c r="F13" s="66">
        <v>0</v>
      </c>
      <c r="G13" s="73">
        <f>'Fall 2022 P2 FON Calculation'!$E13*(1-'Fall 2022 P2 FON Calculation'!$F13)</f>
        <v>27972.5</v>
      </c>
      <c r="H13" s="71">
        <f t="shared" si="1"/>
        <v>-733.67666666666628</v>
      </c>
      <c r="I13" s="72">
        <f t="shared" si="0"/>
        <v>-2.5558146429113443E-2</v>
      </c>
      <c r="J13" s="71">
        <f t="shared" si="2"/>
        <v>-11</v>
      </c>
      <c r="K13" s="116">
        <v>29</v>
      </c>
      <c r="L13" s="115">
        <f>Fall_FON_Calculations[[#This Row],[Base FON:
2020-21 R1 FON
(a)]]+Fall_FON_Calculations[[#This Row],[FTES Adjustment
(h = a*g)]]+Fall_FON_Calculations[[#This Row],[Increase due to 2021-22 Full-Time Faculty Funds
(See Fiscal Memo FS 21-06)* 
(i)]]</f>
        <v>418.86709999999999</v>
      </c>
    </row>
    <row r="14" spans="2:12">
      <c r="B14" s="70" t="s">
        <v>24</v>
      </c>
      <c r="C14" s="69">
        <v>29.951000000000001</v>
      </c>
      <c r="D14" s="68">
        <v>5961.9786090958733</v>
      </c>
      <c r="E14" s="67">
        <v>5961.7252757625392</v>
      </c>
      <c r="F14" s="66">
        <v>0</v>
      </c>
      <c r="G14" s="65">
        <f>'Fall 2022 P2 FON Calculation'!$E14*(1-'Fall 2022 P2 FON Calculation'!$F14)</f>
        <v>5961.7252757625392</v>
      </c>
      <c r="H14" s="63">
        <f t="shared" si="1"/>
        <v>-0.25333333333401242</v>
      </c>
      <c r="I14" s="64">
        <f t="shared" si="0"/>
        <v>-4.2491486458457809E-5</v>
      </c>
      <c r="J14" s="63">
        <f t="shared" si="2"/>
        <v>-1</v>
      </c>
      <c r="K14" s="114">
        <v>7</v>
      </c>
      <c r="L14" s="115">
        <f>Fall_FON_Calculations[[#This Row],[Base FON:
2020-21 R1 FON
(a)]]+Fall_FON_Calculations[[#This Row],[FTES Adjustment
(h = a*g)]]+Fall_FON_Calculations[[#This Row],[Increase due to 2021-22 Full-Time Faculty Funds
(See Fiscal Memo FS 21-06)* 
(i)]]</f>
        <v>35.951000000000001</v>
      </c>
    </row>
    <row r="15" spans="2:12">
      <c r="B15" s="76" t="s">
        <v>25</v>
      </c>
      <c r="C15" s="75">
        <v>369.01979999999998</v>
      </c>
      <c r="D15" s="74">
        <v>27399.696666666667</v>
      </c>
      <c r="E15" s="67">
        <v>28514.599999999995</v>
      </c>
      <c r="F15" s="66">
        <v>0</v>
      </c>
      <c r="G15" s="73">
        <f>'Fall 2022 P2 FON Calculation'!$E15*(1-'Fall 2022 P2 FON Calculation'!$F15)</f>
        <v>28514.599999999995</v>
      </c>
      <c r="H15" s="71">
        <f t="shared" si="1"/>
        <v>1114.9033333333282</v>
      </c>
      <c r="I15" s="72">
        <f t="shared" si="0"/>
        <v>4.0690353141378872E-2</v>
      </c>
      <c r="J15" s="71">
        <f t="shared" si="2"/>
        <v>15</v>
      </c>
      <c r="K15" s="116">
        <v>29</v>
      </c>
      <c r="L15" s="115">
        <f>Fall_FON_Calculations[[#This Row],[Base FON:
2020-21 R1 FON
(a)]]+Fall_FON_Calculations[[#This Row],[FTES Adjustment
(h = a*g)]]+Fall_FON_Calculations[[#This Row],[Increase due to 2021-22 Full-Time Faculty Funds
(See Fiscal Memo FS 21-06)* 
(i)]]</f>
        <v>413.01979999999998</v>
      </c>
    </row>
    <row r="16" spans="2:12">
      <c r="B16" s="70" t="s">
        <v>156</v>
      </c>
      <c r="C16" s="69">
        <v>8.6952999999999996</v>
      </c>
      <c r="D16" s="68">
        <v>1374.9966666666667</v>
      </c>
      <c r="E16" s="67">
        <v>1378.84</v>
      </c>
      <c r="F16" s="66">
        <v>0</v>
      </c>
      <c r="G16" s="65">
        <f>'Fall 2022 P2 FON Calculation'!$E16*(1-'Fall 2022 P2 FON Calculation'!$F16)</f>
        <v>1378.84</v>
      </c>
      <c r="H16" s="63">
        <f t="shared" si="1"/>
        <v>3.8433333333332484</v>
      </c>
      <c r="I16" s="64">
        <f t="shared" si="0"/>
        <v>2.7951582912927658E-3</v>
      </c>
      <c r="J16" s="63">
        <f t="shared" si="2"/>
        <v>0</v>
      </c>
      <c r="K16" s="114">
        <v>1</v>
      </c>
      <c r="L16" s="115">
        <f>Fall_FON_Calculations[[#This Row],[Base FON:
2020-21 R1 FON
(a)]]+Fall_FON_Calculations[[#This Row],[FTES Adjustment
(h = a*g)]]+Fall_FON_Calculations[[#This Row],[Increase due to 2021-22 Full-Time Faculty Funds
(See Fiscal Memo FS 21-06)* 
(i)]]</f>
        <v>9.6952999999999996</v>
      </c>
    </row>
    <row r="17" spans="2:12">
      <c r="B17" s="76" t="s">
        <v>26</v>
      </c>
      <c r="C17" s="75">
        <v>131.8176</v>
      </c>
      <c r="D17" s="74">
        <v>8798.51</v>
      </c>
      <c r="E17" s="67">
        <v>8798.51</v>
      </c>
      <c r="F17" s="66">
        <v>0</v>
      </c>
      <c r="G17" s="73">
        <f>'Fall 2022 P2 FON Calculation'!$E17*(1-'Fall 2022 P2 FON Calculation'!$F17)</f>
        <v>8798.51</v>
      </c>
      <c r="H17" s="71">
        <f t="shared" si="1"/>
        <v>0</v>
      </c>
      <c r="I17" s="72">
        <f t="shared" si="0"/>
        <v>0</v>
      </c>
      <c r="J17" s="71">
        <f t="shared" si="2"/>
        <v>0</v>
      </c>
      <c r="K17" s="116">
        <v>9</v>
      </c>
      <c r="L17" s="115">
        <f>Fall_FON_Calculations[[#This Row],[Base FON:
2020-21 R1 FON
(a)]]+Fall_FON_Calculations[[#This Row],[FTES Adjustment
(h = a*g)]]+Fall_FON_Calculations[[#This Row],[Increase due to 2021-22 Full-Time Faculty Funds
(See Fiscal Memo FS 21-06)* 
(i)]]</f>
        <v>140.8176</v>
      </c>
    </row>
    <row r="18" spans="2:12">
      <c r="B18" s="70" t="s">
        <v>27</v>
      </c>
      <c r="C18" s="69">
        <v>341.95920000000001</v>
      </c>
      <c r="D18" s="68">
        <v>18823.906666666666</v>
      </c>
      <c r="E18" s="67">
        <v>18941.57</v>
      </c>
      <c r="F18" s="66">
        <v>0</v>
      </c>
      <c r="G18" s="65">
        <f>'Fall 2022 P2 FON Calculation'!$E18*(1-'Fall 2022 P2 FON Calculation'!$F18)</f>
        <v>18941.57</v>
      </c>
      <c r="H18" s="63">
        <f t="shared" si="1"/>
        <v>117.66333333333387</v>
      </c>
      <c r="I18" s="64">
        <f t="shared" si="0"/>
        <v>6.2507393080997288E-3</v>
      </c>
      <c r="J18" s="63">
        <f t="shared" si="2"/>
        <v>2</v>
      </c>
      <c r="K18" s="114">
        <v>18</v>
      </c>
      <c r="L18" s="115">
        <f>Fall_FON_Calculations[[#This Row],[Base FON:
2020-21 R1 FON
(a)]]+Fall_FON_Calculations[[#This Row],[FTES Adjustment
(h = a*g)]]+Fall_FON_Calculations[[#This Row],[Increase due to 2021-22 Full-Time Faculty Funds
(See Fiscal Memo FS 21-06)* 
(i)]]</f>
        <v>361.95920000000001</v>
      </c>
    </row>
    <row r="19" spans="2:12">
      <c r="B19" s="76" t="s">
        <v>28</v>
      </c>
      <c r="C19" s="75">
        <v>18.3188</v>
      </c>
      <c r="D19" s="74">
        <v>1661.8941898188164</v>
      </c>
      <c r="E19" s="67">
        <v>1638.5099937721566</v>
      </c>
      <c r="F19" s="66">
        <v>0</v>
      </c>
      <c r="G19" s="73">
        <f>'Fall 2022 P2 FON Calculation'!$E19*(1-'Fall 2022 P2 FON Calculation'!$F19)</f>
        <v>1638.5099937721566</v>
      </c>
      <c r="H19" s="71">
        <f t="shared" si="1"/>
        <v>-23.384196046659781</v>
      </c>
      <c r="I19" s="72">
        <f t="shared" si="0"/>
        <v>-1.4070809194663098E-2</v>
      </c>
      <c r="J19" s="71">
        <f t="shared" si="2"/>
        <v>-1</v>
      </c>
      <c r="K19" s="116">
        <v>2</v>
      </c>
      <c r="L19" s="115">
        <f>Fall_FON_Calculations[[#This Row],[Base FON:
2020-21 R1 FON
(a)]]+Fall_FON_Calculations[[#This Row],[FTES Adjustment
(h = a*g)]]+Fall_FON_Calculations[[#This Row],[Increase due to 2021-22 Full-Time Faculty Funds
(See Fiscal Memo FS 21-06)* 
(i)]]</f>
        <v>19.3188</v>
      </c>
    </row>
    <row r="20" spans="2:12">
      <c r="B20" s="70" t="s">
        <v>29</v>
      </c>
      <c r="C20" s="69">
        <v>384.55779999999999</v>
      </c>
      <c r="D20" s="68">
        <v>23335.31</v>
      </c>
      <c r="E20" s="67">
        <v>22447.71</v>
      </c>
      <c r="F20" s="66">
        <v>0</v>
      </c>
      <c r="G20" s="65">
        <f>'Fall 2022 P2 FON Calculation'!$E20*(1-'Fall 2022 P2 FON Calculation'!$F20)</f>
        <v>22447.71</v>
      </c>
      <c r="H20" s="63">
        <f t="shared" si="1"/>
        <v>-887.60000000000218</v>
      </c>
      <c r="I20" s="64">
        <f t="shared" si="0"/>
        <v>-3.8036777741542842E-2</v>
      </c>
      <c r="J20" s="63">
        <f t="shared" si="2"/>
        <v>-15</v>
      </c>
      <c r="K20" s="114">
        <v>29</v>
      </c>
      <c r="L20" s="115">
        <f>Fall_FON_Calculations[[#This Row],[Base FON:
2020-21 R1 FON
(a)]]+Fall_FON_Calculations[[#This Row],[FTES Adjustment
(h = a*g)]]+Fall_FON_Calculations[[#This Row],[Increase due to 2021-22 Full-Time Faculty Funds
(See Fiscal Memo FS 21-06)* 
(i)]]</f>
        <v>398.55779999999999</v>
      </c>
    </row>
    <row r="21" spans="2:12">
      <c r="B21" s="76" t="s">
        <v>30</v>
      </c>
      <c r="C21" s="75">
        <v>71.532399999999996</v>
      </c>
      <c r="D21" s="74">
        <v>4589.158912736757</v>
      </c>
      <c r="E21" s="67">
        <v>4574.3100000000004</v>
      </c>
      <c r="F21" s="66">
        <v>0</v>
      </c>
      <c r="G21" s="73">
        <f>'Fall 2022 P2 FON Calculation'!$E21*(1-'Fall 2022 P2 FON Calculation'!$F21)</f>
        <v>4574.3100000000004</v>
      </c>
      <c r="H21" s="71">
        <f t="shared" si="1"/>
        <v>-14.848912736756574</v>
      </c>
      <c r="I21" s="72">
        <f t="shared" si="0"/>
        <v>-3.2356501526989803E-3</v>
      </c>
      <c r="J21" s="71">
        <f t="shared" si="2"/>
        <v>-1</v>
      </c>
      <c r="K21" s="116">
        <v>4</v>
      </c>
      <c r="L21" s="115">
        <f>Fall_FON_Calculations[[#This Row],[Base FON:
2020-21 R1 FON
(a)]]+Fall_FON_Calculations[[#This Row],[FTES Adjustment
(h = a*g)]]+Fall_FON_Calculations[[#This Row],[Increase due to 2021-22 Full-Time Faculty Funds
(See Fiscal Memo FS 21-06)* 
(i)]]</f>
        <v>74.532399999999996</v>
      </c>
    </row>
    <row r="22" spans="2:12">
      <c r="B22" s="70" t="s">
        <v>31</v>
      </c>
      <c r="C22" s="69">
        <v>213.0789</v>
      </c>
      <c r="D22" s="68">
        <v>11335.570000000002</v>
      </c>
      <c r="E22" s="67">
        <v>11424.190000000002</v>
      </c>
      <c r="F22" s="66">
        <v>0</v>
      </c>
      <c r="G22" s="65">
        <f>'Fall 2022 P2 FON Calculation'!$E22*(1-'Fall 2022 P2 FON Calculation'!$F22)</f>
        <v>11424.190000000002</v>
      </c>
      <c r="H22" s="63">
        <f t="shared" si="1"/>
        <v>88.6200000000008</v>
      </c>
      <c r="I22" s="64">
        <f t="shared" si="0"/>
        <v>7.8178688852877081E-3</v>
      </c>
      <c r="J22" s="63">
        <f t="shared" si="2"/>
        <v>1</v>
      </c>
      <c r="K22" s="114">
        <v>12</v>
      </c>
      <c r="L22" s="115">
        <f>Fall_FON_Calculations[[#This Row],[Base FON:
2020-21 R1 FON
(a)]]+Fall_FON_Calculations[[#This Row],[FTES Adjustment
(h = a*g)]]+Fall_FON_Calculations[[#This Row],[Increase due to 2021-22 Full-Time Faculty Funds
(See Fiscal Memo FS 21-06)* 
(i)]]</f>
        <v>226.0789</v>
      </c>
    </row>
    <row r="23" spans="2:12">
      <c r="B23" s="76" t="s">
        <v>32</v>
      </c>
      <c r="C23" s="75">
        <v>289.54349999999999</v>
      </c>
      <c r="D23" s="74">
        <v>17237.233333333337</v>
      </c>
      <c r="E23" s="67">
        <v>17019.310000000001</v>
      </c>
      <c r="F23" s="66">
        <v>0</v>
      </c>
      <c r="G23" s="73">
        <f>'Fall 2022 P2 FON Calculation'!$E23*(1-'Fall 2022 P2 FON Calculation'!$F23)</f>
        <v>17019.310000000001</v>
      </c>
      <c r="H23" s="71">
        <f t="shared" si="1"/>
        <v>-217.9233333333359</v>
      </c>
      <c r="I23" s="72">
        <f t="shared" si="0"/>
        <v>-1.264259345563978E-2</v>
      </c>
      <c r="J23" s="71">
        <f t="shared" si="2"/>
        <v>-4</v>
      </c>
      <c r="K23" s="116">
        <v>17</v>
      </c>
      <c r="L23" s="115">
        <f>Fall_FON_Calculations[[#This Row],[Base FON:
2020-21 R1 FON
(a)]]+Fall_FON_Calculations[[#This Row],[FTES Adjustment
(h = a*g)]]+Fall_FON_Calculations[[#This Row],[Increase due to 2021-22 Full-Time Faculty Funds
(See Fiscal Memo FS 21-06)* 
(i)]]</f>
        <v>302.54349999999999</v>
      </c>
    </row>
    <row r="24" spans="2:12">
      <c r="B24" s="70" t="s">
        <v>33</v>
      </c>
      <c r="C24" s="69">
        <v>112.95829999999999</v>
      </c>
      <c r="D24" s="68">
        <v>7322.5019076467843</v>
      </c>
      <c r="E24" s="67">
        <v>7340.377861470176</v>
      </c>
      <c r="F24" s="66">
        <v>0</v>
      </c>
      <c r="G24" s="65">
        <f>'Fall 2022 P2 FON Calculation'!$E24*(1-'Fall 2022 P2 FON Calculation'!$F24)</f>
        <v>7340.377861470176</v>
      </c>
      <c r="H24" s="63">
        <f t="shared" si="1"/>
        <v>17.875953823391683</v>
      </c>
      <c r="I24" s="64">
        <f t="shared" si="0"/>
        <v>2.4412358028509462E-3</v>
      </c>
      <c r="J24" s="63">
        <f t="shared" si="2"/>
        <v>0</v>
      </c>
      <c r="K24" s="114">
        <v>8</v>
      </c>
      <c r="L24" s="115">
        <f>Fall_FON_Calculations[[#This Row],[Base FON:
2020-21 R1 FON
(a)]]+Fall_FON_Calculations[[#This Row],[FTES Adjustment
(h = a*g)]]+Fall_FON_Calculations[[#This Row],[Increase due to 2021-22 Full-Time Faculty Funds
(See Fiscal Memo FS 21-06)* 
(i)]]</f>
        <v>120.95829999999999</v>
      </c>
    </row>
    <row r="25" spans="2:12">
      <c r="B25" s="76" t="s">
        <v>34</v>
      </c>
      <c r="C25" s="75">
        <v>112.06059999999999</v>
      </c>
      <c r="D25" s="74">
        <v>7380.0099999999993</v>
      </c>
      <c r="E25" s="67">
        <v>7364.05</v>
      </c>
      <c r="F25" s="66">
        <v>0</v>
      </c>
      <c r="G25" s="73">
        <f>'Fall 2022 P2 FON Calculation'!$E25*(1-'Fall 2022 P2 FON Calculation'!$F25)</f>
        <v>7364.05</v>
      </c>
      <c r="H25" s="71">
        <f t="shared" si="1"/>
        <v>-15.959999999999127</v>
      </c>
      <c r="I25" s="72">
        <f t="shared" si="0"/>
        <v>-2.1625986956656058E-3</v>
      </c>
      <c r="J25" s="71">
        <f t="shared" si="2"/>
        <v>-1</v>
      </c>
      <c r="K25" s="116">
        <v>7</v>
      </c>
      <c r="L25" s="115">
        <f>Fall_FON_Calculations[[#This Row],[Base FON:
2020-21 R1 FON
(a)]]+Fall_FON_Calculations[[#This Row],[FTES Adjustment
(h = a*g)]]+Fall_FON_Calculations[[#This Row],[Increase due to 2021-22 Full-Time Faculty Funds
(See Fiscal Memo FS 21-06)* 
(i)]]</f>
        <v>118.06059999999999</v>
      </c>
    </row>
    <row r="26" spans="2:12">
      <c r="B26" s="70" t="s">
        <v>35</v>
      </c>
      <c r="C26" s="69">
        <v>454.78919999999999</v>
      </c>
      <c r="D26" s="68">
        <v>22050.86104615944</v>
      </c>
      <c r="E26" s="67">
        <v>22050.86104615944</v>
      </c>
      <c r="F26" s="66">
        <v>0</v>
      </c>
      <c r="G26" s="65">
        <f>'Fall 2022 P2 FON Calculation'!$E26*(1-'Fall 2022 P2 FON Calculation'!$F26)</f>
        <v>22050.86104615944</v>
      </c>
      <c r="H26" s="63">
        <f t="shared" si="1"/>
        <v>0</v>
      </c>
      <c r="I26" s="64">
        <f t="shared" si="0"/>
        <v>0</v>
      </c>
      <c r="J26" s="63">
        <f t="shared" si="2"/>
        <v>0</v>
      </c>
      <c r="K26" s="114">
        <v>27</v>
      </c>
      <c r="L26" s="115">
        <f>Fall_FON_Calculations[[#This Row],[Base FON:
2020-21 R1 FON
(a)]]+Fall_FON_Calculations[[#This Row],[FTES Adjustment
(h = a*g)]]+Fall_FON_Calculations[[#This Row],[Increase due to 2021-22 Full-Time Faculty Funds
(See Fiscal Memo FS 21-06)* 
(i)]]</f>
        <v>481.78919999999999</v>
      </c>
    </row>
    <row r="27" spans="2:12">
      <c r="B27" s="76" t="s">
        <v>36</v>
      </c>
      <c r="C27" s="75">
        <v>17.559999999999999</v>
      </c>
      <c r="D27" s="74">
        <v>1628.82</v>
      </c>
      <c r="E27" s="67">
        <v>1628.82</v>
      </c>
      <c r="F27" s="66">
        <v>0</v>
      </c>
      <c r="G27" s="73">
        <f>'Fall 2022 P2 FON Calculation'!$E27*(1-'Fall 2022 P2 FON Calculation'!$F27)</f>
        <v>1628.82</v>
      </c>
      <c r="H27" s="71">
        <f t="shared" si="1"/>
        <v>0</v>
      </c>
      <c r="I27" s="72">
        <f t="shared" si="0"/>
        <v>0</v>
      </c>
      <c r="J27" s="71">
        <f t="shared" si="2"/>
        <v>0</v>
      </c>
      <c r="K27" s="116">
        <v>2</v>
      </c>
      <c r="L27" s="115">
        <f>Fall_FON_Calculations[[#This Row],[Base FON:
2020-21 R1 FON
(a)]]+Fall_FON_Calculations[[#This Row],[FTES Adjustment
(h = a*g)]]+Fall_FON_Calculations[[#This Row],[Increase due to 2021-22 Full-Time Faculty Funds
(See Fiscal Memo FS 21-06)* 
(i)]]</f>
        <v>19.559999999999999</v>
      </c>
    </row>
    <row r="28" spans="2:12">
      <c r="B28" s="70" t="s">
        <v>37</v>
      </c>
      <c r="C28" s="69">
        <v>14.046900000000001</v>
      </c>
      <c r="D28" s="68">
        <v>1282.3277742086045</v>
      </c>
      <c r="E28" s="67">
        <v>1125.1833333333332</v>
      </c>
      <c r="F28" s="66">
        <v>0</v>
      </c>
      <c r="G28" s="65">
        <f>'Fall 2022 P2 FON Calculation'!$E28*(1-'Fall 2022 P2 FON Calculation'!$F28)</f>
        <v>1125.1833333333332</v>
      </c>
      <c r="H28" s="63">
        <f t="shared" si="1"/>
        <v>-157.14444087527136</v>
      </c>
      <c r="I28" s="64">
        <f t="shared" si="0"/>
        <v>-0.12254623508584137</v>
      </c>
      <c r="J28" s="63">
        <f t="shared" si="2"/>
        <v>-2</v>
      </c>
      <c r="K28" s="114">
        <v>1</v>
      </c>
      <c r="L28" s="115">
        <f>Fall_FON_Calculations[[#This Row],[Base FON:
2020-21 R1 FON
(a)]]+Fall_FON_Calculations[[#This Row],[FTES Adjustment
(h = a*g)]]+Fall_FON_Calculations[[#This Row],[Increase due to 2021-22 Full-Time Faculty Funds
(See Fiscal Memo FS 21-06)* 
(i)]]</f>
        <v>13.046900000000001</v>
      </c>
    </row>
    <row r="29" spans="2:12">
      <c r="B29" s="76" t="s">
        <v>38</v>
      </c>
      <c r="C29" s="75">
        <v>346.959</v>
      </c>
      <c r="D29" s="74">
        <v>19277.629999999997</v>
      </c>
      <c r="E29" s="67">
        <v>19393.689999999999</v>
      </c>
      <c r="F29" s="66">
        <v>0</v>
      </c>
      <c r="G29" s="73">
        <f>'Fall 2022 P2 FON Calculation'!$E29*(1-'Fall 2022 P2 FON Calculation'!$F29)</f>
        <v>19393.689999999999</v>
      </c>
      <c r="H29" s="71">
        <f t="shared" si="1"/>
        <v>116.06000000000131</v>
      </c>
      <c r="I29" s="72">
        <f t="shared" si="0"/>
        <v>6.0204496092103295E-3</v>
      </c>
      <c r="J29" s="71">
        <f t="shared" si="2"/>
        <v>2</v>
      </c>
      <c r="K29" s="116">
        <v>23</v>
      </c>
      <c r="L29" s="115">
        <f>Fall_FON_Calculations[[#This Row],[Base FON:
2020-21 R1 FON
(a)]]+Fall_FON_Calculations[[#This Row],[FTES Adjustment
(h = a*g)]]+Fall_FON_Calculations[[#This Row],[Increase due to 2021-22 Full-Time Faculty Funds
(See Fiscal Memo FS 21-06)* 
(i)]]</f>
        <v>371.959</v>
      </c>
    </row>
    <row r="30" spans="2:12">
      <c r="B30" s="70" t="s">
        <v>39</v>
      </c>
      <c r="C30" s="69">
        <v>1549.7841000000001</v>
      </c>
      <c r="D30" s="68">
        <v>91403.221999999994</v>
      </c>
      <c r="E30" s="67">
        <v>91508.81</v>
      </c>
      <c r="F30" s="66">
        <v>0</v>
      </c>
      <c r="G30" s="65">
        <f>'Fall 2022 P2 FON Calculation'!$E30*(1-'Fall 2022 P2 FON Calculation'!$F30)</f>
        <v>91508.81</v>
      </c>
      <c r="H30" s="63">
        <f t="shared" si="1"/>
        <v>105.58800000000338</v>
      </c>
      <c r="I30" s="64">
        <f t="shared" si="0"/>
        <v>1.1551890369904398E-3</v>
      </c>
      <c r="J30" s="63">
        <f t="shared" si="2"/>
        <v>1</v>
      </c>
      <c r="K30" s="114">
        <v>98</v>
      </c>
      <c r="L30" s="115">
        <f>Fall_FON_Calculations[[#This Row],[Base FON:
2020-21 R1 FON
(a)]]+Fall_FON_Calculations[[#This Row],[FTES Adjustment
(h = a*g)]]+Fall_FON_Calculations[[#This Row],[Increase due to 2021-22 Full-Time Faculty Funds
(See Fiscal Memo FS 21-06)* 
(i)]]</f>
        <v>1648.7841000000001</v>
      </c>
    </row>
    <row r="31" spans="2:12">
      <c r="B31" s="76" t="s">
        <v>40</v>
      </c>
      <c r="C31" s="75">
        <v>895.10069999999996</v>
      </c>
      <c r="D31" s="74">
        <v>46437.079999999994</v>
      </c>
      <c r="E31" s="67">
        <v>44337.570000000007</v>
      </c>
      <c r="F31" s="66">
        <v>0</v>
      </c>
      <c r="G31" s="73">
        <f>'Fall 2022 P2 FON Calculation'!$E31*(1-'Fall 2022 P2 FON Calculation'!$F31)</f>
        <v>44337.570000000007</v>
      </c>
      <c r="H31" s="71">
        <f t="shared" si="1"/>
        <v>-2099.5099999999875</v>
      </c>
      <c r="I31" s="72">
        <f t="shared" si="0"/>
        <v>-4.5211929776807408E-2</v>
      </c>
      <c r="J31" s="71">
        <f t="shared" si="2"/>
        <v>-41</v>
      </c>
      <c r="K31" s="116">
        <v>55</v>
      </c>
      <c r="L31" s="115">
        <f>Fall_FON_Calculations[[#This Row],[Base FON:
2020-21 R1 FON
(a)]]+Fall_FON_Calculations[[#This Row],[FTES Adjustment
(h = a*g)]]+Fall_FON_Calculations[[#This Row],[Increase due to 2021-22 Full-Time Faculty Funds
(See Fiscal Memo FS 21-06)* 
(i)]]</f>
        <v>909.10069999999996</v>
      </c>
    </row>
    <row r="32" spans="2:12">
      <c r="B32" s="70" t="s">
        <v>41</v>
      </c>
      <c r="C32" s="69">
        <v>53.504600000000003</v>
      </c>
      <c r="D32" s="68">
        <v>2946.1133333333332</v>
      </c>
      <c r="E32" s="67">
        <v>2933.77</v>
      </c>
      <c r="F32" s="66">
        <v>0</v>
      </c>
      <c r="G32" s="65">
        <f>'Fall 2022 P2 FON Calculation'!$E32*(1-'Fall 2022 P2 FON Calculation'!$F32)</f>
        <v>2933.77</v>
      </c>
      <c r="H32" s="63">
        <f t="shared" si="1"/>
        <v>-12.343333333333248</v>
      </c>
      <c r="I32" s="64">
        <f t="shared" si="0"/>
        <v>-4.1897007809158443E-3</v>
      </c>
      <c r="J32" s="63">
        <f t="shared" si="2"/>
        <v>-1</v>
      </c>
      <c r="K32" s="114">
        <v>3</v>
      </c>
      <c r="L32" s="115">
        <f>Fall_FON_Calculations[[#This Row],[Base FON:
2020-21 R1 FON
(a)]]+Fall_FON_Calculations[[#This Row],[FTES Adjustment
(h = a*g)]]+Fall_FON_Calculations[[#This Row],[Increase due to 2021-22 Full-Time Faculty Funds
(See Fiscal Memo FS 21-06)* 
(i)]]</f>
        <v>55.504600000000003</v>
      </c>
    </row>
    <row r="33" spans="2:12">
      <c r="B33" s="76" t="s">
        <v>42</v>
      </c>
      <c r="C33" s="75">
        <v>44.740099999999998</v>
      </c>
      <c r="D33" s="74">
        <v>2931.2433333333333</v>
      </c>
      <c r="E33" s="67">
        <v>3011.64</v>
      </c>
      <c r="F33" s="66">
        <v>0</v>
      </c>
      <c r="G33" s="73">
        <f>'Fall 2022 P2 FON Calculation'!$E33*(1-'Fall 2022 P2 FON Calculation'!$F33)</f>
        <v>3011.64</v>
      </c>
      <c r="H33" s="71">
        <f t="shared" si="1"/>
        <v>80.396666666666533</v>
      </c>
      <c r="I33" s="72">
        <f t="shared" si="0"/>
        <v>2.7427496636808227E-2</v>
      </c>
      <c r="J33" s="71">
        <f t="shared" si="2"/>
        <v>1</v>
      </c>
      <c r="K33" s="116">
        <v>2</v>
      </c>
      <c r="L33" s="115">
        <f>Fall_FON_Calculations[[#This Row],[Base FON:
2020-21 R1 FON
(a)]]+Fall_FON_Calculations[[#This Row],[FTES Adjustment
(h = a*g)]]+Fall_FON_Calculations[[#This Row],[Increase due to 2021-22 Full-Time Faculty Funds
(See Fiscal Memo FS 21-06)* 
(i)]]</f>
        <v>47.740099999999998</v>
      </c>
    </row>
    <row r="34" spans="2:12">
      <c r="B34" s="70" t="s">
        <v>43</v>
      </c>
      <c r="C34" s="69">
        <v>184.74430000000001</v>
      </c>
      <c r="D34" s="68">
        <v>8822.3919105115783</v>
      </c>
      <c r="E34" s="67">
        <v>8906.4089665896154</v>
      </c>
      <c r="F34" s="66">
        <v>0</v>
      </c>
      <c r="G34" s="65">
        <f>'Fall 2022 P2 FON Calculation'!$E34*(1-'Fall 2022 P2 FON Calculation'!$F34)</f>
        <v>8906.4089665896154</v>
      </c>
      <c r="H34" s="63">
        <f t="shared" si="1"/>
        <v>84.017056078037058</v>
      </c>
      <c r="I34" s="64">
        <f t="shared" si="0"/>
        <v>9.5231607176658756E-3</v>
      </c>
      <c r="J34" s="63">
        <f t="shared" si="2"/>
        <v>1</v>
      </c>
      <c r="K34" s="114">
        <v>9</v>
      </c>
      <c r="L34" s="115">
        <f>Fall_FON_Calculations[[#This Row],[Base FON:
2020-21 R1 FON
(a)]]+Fall_FON_Calculations[[#This Row],[FTES Adjustment
(h = a*g)]]+Fall_FON_Calculations[[#This Row],[Increase due to 2021-22 Full-Time Faculty Funds
(See Fiscal Memo FS 21-06)* 
(i)]]</f>
        <v>194.74430000000001</v>
      </c>
    </row>
    <row r="35" spans="2:12">
      <c r="B35" s="76" t="s">
        <v>157</v>
      </c>
      <c r="C35" s="75">
        <v>155.2406</v>
      </c>
      <c r="D35" s="74">
        <v>9562.1</v>
      </c>
      <c r="E35" s="67">
        <v>9606.68</v>
      </c>
      <c r="F35" s="66">
        <v>0</v>
      </c>
      <c r="G35" s="73">
        <f>'Fall 2022 P2 FON Calculation'!$E35*(1-'Fall 2022 P2 FON Calculation'!$F35)</f>
        <v>9606.68</v>
      </c>
      <c r="H35" s="71">
        <f t="shared" si="1"/>
        <v>44.579999999999927</v>
      </c>
      <c r="I35" s="72">
        <f t="shared" si="0"/>
        <v>4.662155802595656E-3</v>
      </c>
      <c r="J35" s="71">
        <f t="shared" si="2"/>
        <v>0</v>
      </c>
      <c r="K35" s="116">
        <v>10</v>
      </c>
      <c r="L35" s="115">
        <f>Fall_FON_Calculations[[#This Row],[Base FON:
2020-21 R1 FON
(a)]]+Fall_FON_Calculations[[#This Row],[FTES Adjustment
(h = a*g)]]+Fall_FON_Calculations[[#This Row],[Increase due to 2021-22 Full-Time Faculty Funds
(See Fiscal Memo FS 21-06)* 
(i)]]</f>
        <v>165.2406</v>
      </c>
    </row>
    <row r="36" spans="2:12">
      <c r="B36" s="70" t="s">
        <v>44</v>
      </c>
      <c r="C36" s="69">
        <v>115.68680000000001</v>
      </c>
      <c r="D36" s="68">
        <v>6010.5100000000011</v>
      </c>
      <c r="E36" s="67">
        <v>6086.63</v>
      </c>
      <c r="F36" s="66">
        <v>0</v>
      </c>
      <c r="G36" s="65">
        <f>'Fall 2022 P2 FON Calculation'!$E36*(1-'Fall 2022 P2 FON Calculation'!$F36)</f>
        <v>6086.63</v>
      </c>
      <c r="H36" s="63">
        <f t="shared" si="1"/>
        <v>76.119999999998981</v>
      </c>
      <c r="I36" s="64">
        <f t="shared" si="0"/>
        <v>1.2664482714445025E-2</v>
      </c>
      <c r="J36" s="63">
        <f t="shared" si="2"/>
        <v>1</v>
      </c>
      <c r="K36" s="114">
        <v>6</v>
      </c>
      <c r="L36" s="115">
        <f>Fall_FON_Calculations[[#This Row],[Base FON:
2020-21 R1 FON
(a)]]+Fall_FON_Calculations[[#This Row],[FTES Adjustment
(h = a*g)]]+Fall_FON_Calculations[[#This Row],[Increase due to 2021-22 Full-Time Faculty Funds
(See Fiscal Memo FS 21-06)* 
(i)]]</f>
        <v>122.68680000000001</v>
      </c>
    </row>
    <row r="37" spans="2:12">
      <c r="B37" s="76" t="s">
        <v>45</v>
      </c>
      <c r="C37" s="75">
        <v>442.09750000000003</v>
      </c>
      <c r="D37" s="74">
        <v>24775.33</v>
      </c>
      <c r="E37" s="67">
        <v>24775.33</v>
      </c>
      <c r="F37" s="66">
        <v>0</v>
      </c>
      <c r="G37" s="73">
        <f>'Fall 2022 P2 FON Calculation'!$E37*(1-'Fall 2022 P2 FON Calculation'!$F37)</f>
        <v>24775.33</v>
      </c>
      <c r="H37" s="71">
        <f t="shared" si="1"/>
        <v>0</v>
      </c>
      <c r="I37" s="72">
        <f t="shared" si="0"/>
        <v>0</v>
      </c>
      <c r="J37" s="71">
        <f t="shared" si="2"/>
        <v>0</v>
      </c>
      <c r="K37" s="116">
        <v>29</v>
      </c>
      <c r="L37" s="115">
        <f>Fall_FON_Calculations[[#This Row],[Base FON:
2020-21 R1 FON
(a)]]+Fall_FON_Calculations[[#This Row],[FTES Adjustment
(h = a*g)]]+Fall_FON_Calculations[[#This Row],[Increase due to 2021-22 Full-Time Faculty Funds
(See Fiscal Memo FS 21-06)* 
(i)]]</f>
        <v>471.09750000000003</v>
      </c>
    </row>
    <row r="38" spans="2:12">
      <c r="B38" s="70" t="s">
        <v>46</v>
      </c>
      <c r="C38" s="69">
        <v>158.57810000000001</v>
      </c>
      <c r="D38" s="68">
        <v>11636.81333333333</v>
      </c>
      <c r="E38" s="67">
        <v>11703.709999999997</v>
      </c>
      <c r="F38" s="66">
        <v>0</v>
      </c>
      <c r="G38" s="65">
        <f>'Fall 2022 P2 FON Calculation'!$E38*(1-'Fall 2022 P2 FON Calculation'!$F38)</f>
        <v>11703.709999999997</v>
      </c>
      <c r="H38" s="63">
        <f t="shared" si="1"/>
        <v>66.896666666667443</v>
      </c>
      <c r="I38" s="64">
        <f t="shared" si="0"/>
        <v>5.7487101279732481E-3</v>
      </c>
      <c r="J38" s="63">
        <f t="shared" si="2"/>
        <v>0</v>
      </c>
      <c r="K38" s="114">
        <v>13</v>
      </c>
      <c r="L38" s="115">
        <f>Fall_FON_Calculations[[#This Row],[Base FON:
2020-21 R1 FON
(a)]]+Fall_FON_Calculations[[#This Row],[FTES Adjustment
(h = a*g)]]+Fall_FON_Calculations[[#This Row],[Increase due to 2021-22 Full-Time Faculty Funds
(See Fiscal Memo FS 21-06)* 
(i)]]</f>
        <v>171.57810000000001</v>
      </c>
    </row>
    <row r="39" spans="2:12">
      <c r="B39" s="76" t="s">
        <v>47</v>
      </c>
      <c r="C39" s="75">
        <v>78.383899999999997</v>
      </c>
      <c r="D39" s="74">
        <v>4329.28</v>
      </c>
      <c r="E39" s="67">
        <v>4361.8500000000004</v>
      </c>
      <c r="F39" s="66">
        <v>0</v>
      </c>
      <c r="G39" s="73">
        <f>'Fall 2022 P2 FON Calculation'!$E39*(1-'Fall 2022 P2 FON Calculation'!$F39)</f>
        <v>4361.8500000000004</v>
      </c>
      <c r="H39" s="71">
        <f t="shared" si="1"/>
        <v>32.570000000000618</v>
      </c>
      <c r="I39" s="72">
        <f t="shared" si="0"/>
        <v>7.5231909232021535E-3</v>
      </c>
      <c r="J39" s="71">
        <f t="shared" si="2"/>
        <v>0</v>
      </c>
      <c r="K39" s="116">
        <v>5</v>
      </c>
      <c r="L39" s="115">
        <f>Fall_FON_Calculations[[#This Row],[Base FON:
2020-21 R1 FON
(a)]]+Fall_FON_Calculations[[#This Row],[FTES Adjustment
(h = a*g)]]+Fall_FON_Calculations[[#This Row],[Increase due to 2021-22 Full-Time Faculty Funds
(See Fiscal Memo FS 21-06)* 
(i)]]</f>
        <v>83.383899999999997</v>
      </c>
    </row>
    <row r="40" spans="2:12">
      <c r="B40" s="70" t="s">
        <v>48</v>
      </c>
      <c r="C40" s="69">
        <v>567.17700000000002</v>
      </c>
      <c r="D40" s="68">
        <v>28430.983333333334</v>
      </c>
      <c r="E40" s="67">
        <v>26724.643333333333</v>
      </c>
      <c r="F40" s="66">
        <v>0</v>
      </c>
      <c r="G40" s="65">
        <f>'Fall 2022 P2 FON Calculation'!$E40*(1-'Fall 2022 P2 FON Calculation'!$F40)</f>
        <v>26724.643333333333</v>
      </c>
      <c r="H40" s="63">
        <f t="shared" si="1"/>
        <v>-1706.3400000000001</v>
      </c>
      <c r="I40" s="64">
        <f t="shared" si="0"/>
        <v>-6.0016918162638301E-2</v>
      </c>
      <c r="J40" s="63">
        <f t="shared" si="2"/>
        <v>-35</v>
      </c>
      <c r="K40" s="114">
        <v>0</v>
      </c>
      <c r="L40" s="115">
        <f>Fall_FON_Calculations[[#This Row],[Base FON:
2020-21 R1 FON
(a)]]+Fall_FON_Calculations[[#This Row],[FTES Adjustment
(h = a*g)]]+Fall_FON_Calculations[[#This Row],[Increase due to 2021-22 Full-Time Faculty Funds
(See Fiscal Memo FS 21-06)* 
(i)]]</f>
        <v>532.17700000000002</v>
      </c>
    </row>
    <row r="41" spans="2:12">
      <c r="B41" s="76" t="s">
        <v>49</v>
      </c>
      <c r="C41" s="75">
        <v>108.6443</v>
      </c>
      <c r="D41" s="74">
        <v>7299.0933333333332</v>
      </c>
      <c r="E41" s="67">
        <v>7456.5766666666668</v>
      </c>
      <c r="F41" s="66">
        <v>0</v>
      </c>
      <c r="G41" s="73">
        <f>'Fall 2022 P2 FON Calculation'!$E41*(1-'Fall 2022 P2 FON Calculation'!$F41)</f>
        <v>7456.5766666666668</v>
      </c>
      <c r="H41" s="71">
        <f t="shared" si="1"/>
        <v>157.48333333333358</v>
      </c>
      <c r="I41" s="72">
        <f t="shared" si="0"/>
        <v>2.1575739087229134E-2</v>
      </c>
      <c r="J41" s="71">
        <f t="shared" si="2"/>
        <v>2</v>
      </c>
      <c r="K41" s="116">
        <v>9</v>
      </c>
      <c r="L41" s="115">
        <f>Fall_FON_Calculations[[#This Row],[Base FON:
2020-21 R1 FON
(a)]]+Fall_FON_Calculations[[#This Row],[FTES Adjustment
(h = a*g)]]+Fall_FON_Calculations[[#This Row],[Increase due to 2021-22 Full-Time Faculty Funds
(See Fiscal Memo FS 21-06)* 
(i)]]</f>
        <v>119.6443</v>
      </c>
    </row>
    <row r="42" spans="2:12">
      <c r="B42" s="70" t="s">
        <v>50</v>
      </c>
      <c r="C42" s="69">
        <v>25.435300000000002</v>
      </c>
      <c r="D42" s="68">
        <v>2118.8315452295196</v>
      </c>
      <c r="E42" s="67">
        <v>2164.8385065996154</v>
      </c>
      <c r="F42" s="66">
        <v>0</v>
      </c>
      <c r="G42" s="65">
        <f>'Fall 2022 P2 FON Calculation'!$E42*(1-'Fall 2022 P2 FON Calculation'!$F42)</f>
        <v>2164.8385065996154</v>
      </c>
      <c r="H42" s="63">
        <f t="shared" si="1"/>
        <v>46.006961370095723</v>
      </c>
      <c r="I42" s="64">
        <f t="shared" si="0"/>
        <v>2.1713364365222379E-2</v>
      </c>
      <c r="J42" s="63">
        <f t="shared" si="2"/>
        <v>0</v>
      </c>
      <c r="K42" s="114">
        <v>2</v>
      </c>
      <c r="L42" s="115">
        <f>Fall_FON_Calculations[[#This Row],[Base FON:
2020-21 R1 FON
(a)]]+Fall_FON_Calculations[[#This Row],[FTES Adjustment
(h = a*g)]]+Fall_FON_Calculations[[#This Row],[Increase due to 2021-22 Full-Time Faculty Funds
(See Fiscal Memo FS 21-06)* 
(i)]]</f>
        <v>27.435300000000002</v>
      </c>
    </row>
    <row r="43" spans="2:12">
      <c r="B43" s="76" t="s">
        <v>51</v>
      </c>
      <c r="C43" s="75">
        <v>286.1318</v>
      </c>
      <c r="D43" s="74">
        <v>17527.25333333333</v>
      </c>
      <c r="E43" s="67">
        <v>17645.240000000002</v>
      </c>
      <c r="F43" s="66">
        <v>0</v>
      </c>
      <c r="G43" s="73">
        <f>'Fall 2022 P2 FON Calculation'!$E43*(1-'Fall 2022 P2 FON Calculation'!$F43)</f>
        <v>17645.240000000002</v>
      </c>
      <c r="H43" s="71">
        <f t="shared" si="1"/>
        <v>117.98666666667123</v>
      </c>
      <c r="I43" s="72">
        <f t="shared" si="0"/>
        <v>6.7316118745362223E-3</v>
      </c>
      <c r="J43" s="71">
        <f t="shared" si="2"/>
        <v>1</v>
      </c>
      <c r="K43" s="116">
        <v>17</v>
      </c>
      <c r="L43" s="115">
        <f>Fall_FON_Calculations[[#This Row],[Base FON:
2020-21 R1 FON
(a)]]+Fall_FON_Calculations[[#This Row],[FTES Adjustment
(h = a*g)]]+Fall_FON_Calculations[[#This Row],[Increase due to 2021-22 Full-Time Faculty Funds
(See Fiscal Memo FS 21-06)* 
(i)]]</f>
        <v>304.1318</v>
      </c>
    </row>
    <row r="44" spans="2:12">
      <c r="B44" s="70" t="s">
        <v>158</v>
      </c>
      <c r="C44" s="69">
        <v>443.36059999999998</v>
      </c>
      <c r="D44" s="68">
        <v>22850.506666666668</v>
      </c>
      <c r="E44" s="67">
        <v>22828.7</v>
      </c>
      <c r="F44" s="66">
        <v>0</v>
      </c>
      <c r="G44" s="65">
        <f>'Fall 2022 P2 FON Calculation'!$E44*(1-'Fall 2022 P2 FON Calculation'!$F44)</f>
        <v>22828.7</v>
      </c>
      <c r="H44" s="63">
        <f t="shared" si="1"/>
        <v>-21.806666666667297</v>
      </c>
      <c r="I44" s="64">
        <f t="shared" si="0"/>
        <v>-9.5431873720672991E-4</v>
      </c>
      <c r="J44" s="63">
        <f t="shared" si="2"/>
        <v>-1</v>
      </c>
      <c r="K44" s="114">
        <v>25</v>
      </c>
      <c r="L44" s="115">
        <f>Fall_FON_Calculations[[#This Row],[Base FON:
2020-21 R1 FON
(a)]]+Fall_FON_Calculations[[#This Row],[FTES Adjustment
(h = a*g)]]+Fall_FON_Calculations[[#This Row],[Increase due to 2021-22 Full-Time Faculty Funds
(See Fiscal Memo FS 21-06)* 
(i)]]</f>
        <v>467.36059999999998</v>
      </c>
    </row>
    <row r="45" spans="2:12">
      <c r="B45" s="76" t="s">
        <v>52</v>
      </c>
      <c r="C45" s="75">
        <v>280.85899999999998</v>
      </c>
      <c r="D45" s="74">
        <v>15498.193333333335</v>
      </c>
      <c r="E45" s="67">
        <v>15422.29</v>
      </c>
      <c r="F45" s="66">
        <v>0</v>
      </c>
      <c r="G45" s="73">
        <f>'Fall 2022 P2 FON Calculation'!$E45*(1-'Fall 2022 P2 FON Calculation'!$F45)</f>
        <v>15422.29</v>
      </c>
      <c r="H45" s="71">
        <f t="shared" si="1"/>
        <v>-75.903333333333649</v>
      </c>
      <c r="I45" s="72">
        <f t="shared" si="0"/>
        <v>-4.8975601027044643E-3</v>
      </c>
      <c r="J45" s="71">
        <f t="shared" si="2"/>
        <v>-2</v>
      </c>
      <c r="K45" s="116">
        <v>15</v>
      </c>
      <c r="L45" s="115">
        <f>Fall_FON_Calculations[[#This Row],[Base FON:
2020-21 R1 FON
(a)]]+Fall_FON_Calculations[[#This Row],[FTES Adjustment
(h = a*g)]]+Fall_FON_Calculations[[#This Row],[Increase due to 2021-22 Full-Time Faculty Funds
(See Fiscal Memo FS 21-06)* 
(i)]]</f>
        <v>293.85899999999998</v>
      </c>
    </row>
    <row r="46" spans="2:12">
      <c r="B46" s="70" t="s">
        <v>53</v>
      </c>
      <c r="C46" s="69">
        <v>347.36529999999999</v>
      </c>
      <c r="D46" s="68">
        <v>20489.343333333334</v>
      </c>
      <c r="E46" s="67">
        <v>19750.213333333333</v>
      </c>
      <c r="F46" s="66">
        <v>0</v>
      </c>
      <c r="G46" s="65">
        <f>'Fall 2022 P2 FON Calculation'!$E46*(1-'Fall 2022 P2 FON Calculation'!$F46)</f>
        <v>19750.213333333333</v>
      </c>
      <c r="H46" s="63">
        <f t="shared" si="1"/>
        <v>-739.13000000000102</v>
      </c>
      <c r="I46" s="64">
        <f t="shared" si="0"/>
        <v>-3.6073874500289059E-2</v>
      </c>
      <c r="J46" s="63">
        <f t="shared" si="2"/>
        <v>-13</v>
      </c>
      <c r="K46" s="114">
        <v>22</v>
      </c>
      <c r="L46" s="115">
        <f>Fall_FON_Calculations[[#This Row],[Base FON:
2020-21 R1 FON
(a)]]+Fall_FON_Calculations[[#This Row],[FTES Adjustment
(h = a*g)]]+Fall_FON_Calculations[[#This Row],[Increase due to 2021-22 Full-Time Faculty Funds
(See Fiscal Memo FS 21-06)* 
(i)]]</f>
        <v>356.36529999999999</v>
      </c>
    </row>
    <row r="47" spans="2:12">
      <c r="B47" s="76" t="s">
        <v>54</v>
      </c>
      <c r="C47" s="75">
        <v>61.157499999999999</v>
      </c>
      <c r="D47" s="74">
        <v>3579.8866666666668</v>
      </c>
      <c r="E47" s="67">
        <v>3643.7899999999995</v>
      </c>
      <c r="F47" s="66">
        <v>0</v>
      </c>
      <c r="G47" s="73">
        <f>'Fall 2022 P2 FON Calculation'!$E47*(1-'Fall 2022 P2 FON Calculation'!$F47)</f>
        <v>3643.7899999999995</v>
      </c>
      <c r="H47" s="71">
        <f t="shared" si="1"/>
        <v>63.903333333332739</v>
      </c>
      <c r="I47" s="72">
        <f t="shared" si="0"/>
        <v>1.7850658214505693E-2</v>
      </c>
      <c r="J47" s="71">
        <f t="shared" si="2"/>
        <v>1</v>
      </c>
      <c r="K47" s="116">
        <v>3</v>
      </c>
      <c r="L47" s="115">
        <f>Fall_FON_Calculations[[#This Row],[Base FON:
2020-21 R1 FON
(a)]]+Fall_FON_Calculations[[#This Row],[FTES Adjustment
(h = a*g)]]+Fall_FON_Calculations[[#This Row],[Increase due to 2021-22 Full-Time Faculty Funds
(See Fiscal Memo FS 21-06)* 
(i)]]</f>
        <v>65.157499999999999</v>
      </c>
    </row>
    <row r="48" spans="2:12">
      <c r="B48" s="70" t="s">
        <v>55</v>
      </c>
      <c r="C48" s="69">
        <v>224.8244</v>
      </c>
      <c r="D48" s="68">
        <v>12646.116666666667</v>
      </c>
      <c r="E48" s="67">
        <v>12748.15</v>
      </c>
      <c r="F48" s="66">
        <v>0</v>
      </c>
      <c r="G48" s="65">
        <f>'Fall 2022 P2 FON Calculation'!$E48*(1-'Fall 2022 P2 FON Calculation'!$F48)</f>
        <v>12748.15</v>
      </c>
      <c r="H48" s="63">
        <f t="shared" si="1"/>
        <v>102.03333333333285</v>
      </c>
      <c r="I48" s="64">
        <f t="shared" si="0"/>
        <v>8.0683529990101983E-3</v>
      </c>
      <c r="J48" s="63">
        <f t="shared" si="2"/>
        <v>1</v>
      </c>
      <c r="K48" s="114">
        <v>13</v>
      </c>
      <c r="L48" s="115">
        <f>Fall_FON_Calculations[[#This Row],[Base FON:
2020-21 R1 FON
(a)]]+Fall_FON_Calculations[[#This Row],[FTES Adjustment
(h = a*g)]]+Fall_FON_Calculations[[#This Row],[Increase due to 2021-22 Full-Time Faculty Funds
(See Fiscal Memo FS 21-06)* 
(i)]]</f>
        <v>238.8244</v>
      </c>
    </row>
    <row r="49" spans="2:12">
      <c r="B49" s="76" t="s">
        <v>56</v>
      </c>
      <c r="C49" s="75">
        <v>439.35449999999997</v>
      </c>
      <c r="D49" s="74">
        <v>30285.236593232767</v>
      </c>
      <c r="E49" s="67">
        <v>30428.134889849149</v>
      </c>
      <c r="F49" s="66">
        <v>0</v>
      </c>
      <c r="G49" s="73">
        <f>'Fall 2022 P2 FON Calculation'!$E49*(1-'Fall 2022 P2 FON Calculation'!$F49)</f>
        <v>30428.134889849149</v>
      </c>
      <c r="H49" s="71">
        <f t="shared" si="1"/>
        <v>142.89829661638214</v>
      </c>
      <c r="I49" s="72">
        <f t="shared" si="0"/>
        <v>4.7184144055296157E-3</v>
      </c>
      <c r="J49" s="71">
        <f t="shared" si="2"/>
        <v>2</v>
      </c>
      <c r="K49" s="116">
        <v>33</v>
      </c>
      <c r="L49" s="115">
        <f>Fall_FON_Calculations[[#This Row],[Base FON:
2020-21 R1 FON
(a)]]+Fall_FON_Calculations[[#This Row],[FTES Adjustment
(h = a*g)]]+Fall_FON_Calculations[[#This Row],[Increase due to 2021-22 Full-Time Faculty Funds
(See Fiscal Memo FS 21-06)* 
(i)]]</f>
        <v>474.35449999999997</v>
      </c>
    </row>
    <row r="50" spans="2:12">
      <c r="B50" s="70" t="s">
        <v>57</v>
      </c>
      <c r="C50" s="69">
        <v>234.38229999999999</v>
      </c>
      <c r="D50" s="68">
        <v>14573.936666666666</v>
      </c>
      <c r="E50" s="67">
        <v>14512.234089602916</v>
      </c>
      <c r="F50" s="66">
        <v>0</v>
      </c>
      <c r="G50" s="65">
        <f>'Fall 2022 P2 FON Calculation'!$E50*(1-'Fall 2022 P2 FON Calculation'!$F50)</f>
        <v>14512.234089602916</v>
      </c>
      <c r="H50" s="63">
        <f t="shared" si="1"/>
        <v>-61.702577063750141</v>
      </c>
      <c r="I50" s="64">
        <f t="shared" si="0"/>
        <v>-4.233761850006906E-3</v>
      </c>
      <c r="J50" s="63">
        <f t="shared" si="2"/>
        <v>-1</v>
      </c>
      <c r="K50" s="114">
        <v>17</v>
      </c>
      <c r="L50" s="115">
        <f>Fall_FON_Calculations[[#This Row],[Base FON:
2020-21 R1 FON
(a)]]+Fall_FON_Calculations[[#This Row],[FTES Adjustment
(h = a*g)]]+Fall_FON_Calculations[[#This Row],[Increase due to 2021-22 Full-Time Faculty Funds
(See Fiscal Memo FS 21-06)* 
(i)]]</f>
        <v>250.38229999999999</v>
      </c>
    </row>
    <row r="51" spans="2:12">
      <c r="B51" s="76" t="s">
        <v>58</v>
      </c>
      <c r="C51" s="75">
        <v>525.00289999999995</v>
      </c>
      <c r="D51" s="74">
        <v>31538.506666666664</v>
      </c>
      <c r="E51" s="67">
        <v>31016.780000000002</v>
      </c>
      <c r="F51" s="66">
        <v>0</v>
      </c>
      <c r="G51" s="73">
        <f>'Fall 2022 P2 FON Calculation'!$E51*(1-'Fall 2022 P2 FON Calculation'!$F51)</f>
        <v>31016.780000000002</v>
      </c>
      <c r="H51" s="71">
        <f t="shared" si="1"/>
        <v>-521.72666666666191</v>
      </c>
      <c r="I51" s="72">
        <f t="shared" si="0"/>
        <v>-1.6542529174917452E-2</v>
      </c>
      <c r="J51" s="71">
        <f t="shared" si="2"/>
        <v>-9</v>
      </c>
      <c r="K51" s="116">
        <v>33</v>
      </c>
      <c r="L51" s="115">
        <f>Fall_FON_Calculations[[#This Row],[Base FON:
2020-21 R1 FON
(a)]]+Fall_FON_Calculations[[#This Row],[FTES Adjustment
(h = a*g)]]+Fall_FON_Calculations[[#This Row],[Increase due to 2021-22 Full-Time Faculty Funds
(See Fiscal Memo FS 21-06)* 
(i)]]</f>
        <v>549.00289999999995</v>
      </c>
    </row>
    <row r="52" spans="2:12">
      <c r="B52" s="70" t="s">
        <v>59</v>
      </c>
      <c r="C52" s="69">
        <v>199.06739999999999</v>
      </c>
      <c r="D52" s="68">
        <v>15328.113333333333</v>
      </c>
      <c r="E52" s="67">
        <v>14729.15</v>
      </c>
      <c r="F52" s="66">
        <v>0</v>
      </c>
      <c r="G52" s="65">
        <f>'Fall 2022 P2 FON Calculation'!$E52*(1-'Fall 2022 P2 FON Calculation'!$F52)</f>
        <v>14729.15</v>
      </c>
      <c r="H52" s="63">
        <f t="shared" si="1"/>
        <v>-598.96333333333314</v>
      </c>
      <c r="I52" s="64">
        <f t="shared" si="0"/>
        <v>-3.9076128960424339E-2</v>
      </c>
      <c r="J52" s="63">
        <f t="shared" si="2"/>
        <v>-8</v>
      </c>
      <c r="K52" s="114">
        <v>15</v>
      </c>
      <c r="L52" s="115">
        <f>Fall_FON_Calculations[[#This Row],[Base FON:
2020-21 R1 FON
(a)]]+Fall_FON_Calculations[[#This Row],[FTES Adjustment
(h = a*g)]]+Fall_FON_Calculations[[#This Row],[Increase due to 2021-22 Full-Time Faculty Funds
(See Fiscal Memo FS 21-06)* 
(i)]]</f>
        <v>206.06739999999999</v>
      </c>
    </row>
    <row r="53" spans="2:12">
      <c r="B53" s="76" t="s">
        <v>60</v>
      </c>
      <c r="C53" s="75">
        <v>236.05119999999999</v>
      </c>
      <c r="D53" s="74">
        <v>15584.902178276403</v>
      </c>
      <c r="E53" s="67">
        <v>16281.518267414607</v>
      </c>
      <c r="F53" s="66">
        <v>0</v>
      </c>
      <c r="G53" s="73">
        <f>'Fall 2022 P2 FON Calculation'!$E53*(1-'Fall 2022 P2 FON Calculation'!$F53)</f>
        <v>16281.518267414607</v>
      </c>
      <c r="H53" s="71">
        <f t="shared" si="1"/>
        <v>696.61608913820419</v>
      </c>
      <c r="I53" s="72">
        <f t="shared" si="0"/>
        <v>4.4698136771702583E-2</v>
      </c>
      <c r="J53" s="71">
        <f t="shared" si="2"/>
        <v>10</v>
      </c>
      <c r="K53" s="116">
        <v>17</v>
      </c>
      <c r="L53" s="115">
        <f>Fall_FON_Calculations[[#This Row],[Base FON:
2020-21 R1 FON
(a)]]+Fall_FON_Calculations[[#This Row],[FTES Adjustment
(h = a*g)]]+Fall_FON_Calculations[[#This Row],[Increase due to 2021-22 Full-Time Faculty Funds
(See Fiscal Memo FS 21-06)* 
(i)]]</f>
        <v>263.05119999999999</v>
      </c>
    </row>
    <row r="54" spans="2:12">
      <c r="B54" s="70" t="s">
        <v>61</v>
      </c>
      <c r="C54" s="69">
        <v>196.82929999999999</v>
      </c>
      <c r="D54" s="68">
        <v>11994.223333333333</v>
      </c>
      <c r="E54" s="67">
        <v>12266.83</v>
      </c>
      <c r="F54" s="66">
        <v>0</v>
      </c>
      <c r="G54" s="65">
        <f>'Fall 2022 P2 FON Calculation'!$E54*(1-'Fall 2022 P2 FON Calculation'!$F54)</f>
        <v>12266.83</v>
      </c>
      <c r="H54" s="63">
        <f t="shared" si="1"/>
        <v>272.60666666666657</v>
      </c>
      <c r="I54" s="64">
        <f t="shared" si="0"/>
        <v>2.27281633075033E-2</v>
      </c>
      <c r="J54" s="63">
        <f t="shared" si="2"/>
        <v>4</v>
      </c>
      <c r="K54" s="114">
        <v>12</v>
      </c>
      <c r="L54" s="115">
        <f>Fall_FON_Calculations[[#This Row],[Base FON:
2020-21 R1 FON
(a)]]+Fall_FON_Calculations[[#This Row],[FTES Adjustment
(h = a*g)]]+Fall_FON_Calculations[[#This Row],[Increase due to 2021-22 Full-Time Faculty Funds
(See Fiscal Memo FS 21-06)* 
(i)]]</f>
        <v>212.82929999999999</v>
      </c>
    </row>
    <row r="55" spans="2:12">
      <c r="B55" s="76" t="s">
        <v>62</v>
      </c>
      <c r="C55" s="75">
        <v>120.1765</v>
      </c>
      <c r="D55" s="74">
        <v>7304.5166666666673</v>
      </c>
      <c r="E55" s="67">
        <v>7617.05</v>
      </c>
      <c r="F55" s="66">
        <v>0</v>
      </c>
      <c r="G55" s="73">
        <f>'Fall 2022 P2 FON Calculation'!$E55*(1-'Fall 2022 P2 FON Calculation'!$F55)</f>
        <v>7617.05</v>
      </c>
      <c r="H55" s="71">
        <f t="shared" si="1"/>
        <v>312.53333333333285</v>
      </c>
      <c r="I55" s="72">
        <f t="shared" si="0"/>
        <v>4.2786312578290533E-2</v>
      </c>
      <c r="J55" s="71">
        <f t="shared" si="2"/>
        <v>5</v>
      </c>
      <c r="K55" s="116">
        <v>8</v>
      </c>
      <c r="L55" s="115">
        <f>Fall_FON_Calculations[[#This Row],[Base FON:
2020-21 R1 FON
(a)]]+Fall_FON_Calculations[[#This Row],[FTES Adjustment
(h = a*g)]]+Fall_FON_Calculations[[#This Row],[Increase due to 2021-22 Full-Time Faculty Funds
(See Fiscal Memo FS 21-06)* 
(i)]]</f>
        <v>133.1765</v>
      </c>
    </row>
    <row r="56" spans="2:12">
      <c r="B56" s="70" t="s">
        <v>63</v>
      </c>
      <c r="C56" s="69">
        <v>271.73450000000003</v>
      </c>
      <c r="D56" s="68">
        <v>14857.136666666665</v>
      </c>
      <c r="E56" s="67">
        <v>13681.886666666667</v>
      </c>
      <c r="F56" s="66">
        <v>0</v>
      </c>
      <c r="G56" s="65">
        <f>'Fall 2022 P2 FON Calculation'!$E56*(1-'Fall 2022 P2 FON Calculation'!$F56)</f>
        <v>13681.886666666667</v>
      </c>
      <c r="H56" s="63">
        <f t="shared" si="1"/>
        <v>-1175.2499999999982</v>
      </c>
      <c r="I56" s="64">
        <f t="shared" si="0"/>
        <v>-7.9103398344364584E-2</v>
      </c>
      <c r="J56" s="63">
        <f t="shared" si="2"/>
        <v>-22</v>
      </c>
      <c r="K56" s="114">
        <v>17</v>
      </c>
      <c r="L56" s="115">
        <f>Fall_FON_Calculations[[#This Row],[Base FON:
2020-21 R1 FON
(a)]]+Fall_FON_Calculations[[#This Row],[FTES Adjustment
(h = a*g)]]+Fall_FON_Calculations[[#This Row],[Increase due to 2021-22 Full-Time Faculty Funds
(See Fiscal Memo FS 21-06)* 
(i)]]</f>
        <v>266.73450000000003</v>
      </c>
    </row>
    <row r="57" spans="2:12">
      <c r="B57" s="76" t="s">
        <v>64</v>
      </c>
      <c r="C57" s="75">
        <v>211.14959999999999</v>
      </c>
      <c r="D57" s="74">
        <v>11320.623333333333</v>
      </c>
      <c r="E57" s="67">
        <v>11263.73</v>
      </c>
      <c r="F57" s="66">
        <v>0</v>
      </c>
      <c r="G57" s="73">
        <f>'Fall 2022 P2 FON Calculation'!$E57*(1-'Fall 2022 P2 FON Calculation'!$F57)</f>
        <v>11263.73</v>
      </c>
      <c r="H57" s="71">
        <f t="shared" si="1"/>
        <v>-56.89333333333343</v>
      </c>
      <c r="I57" s="72">
        <f t="shared" si="0"/>
        <v>-5.0256361030767823E-3</v>
      </c>
      <c r="J57" s="71">
        <f t="shared" si="2"/>
        <v>-2</v>
      </c>
      <c r="K57" s="116">
        <v>13</v>
      </c>
      <c r="L57" s="115">
        <f>Fall_FON_Calculations[[#This Row],[Base FON:
2020-21 R1 FON
(a)]]+Fall_FON_Calculations[[#This Row],[FTES Adjustment
(h = a*g)]]+Fall_FON_Calculations[[#This Row],[Increase due to 2021-22 Full-Time Faculty Funds
(See Fiscal Memo FS 21-06)* 
(i)]]</f>
        <v>222.14959999999999</v>
      </c>
    </row>
    <row r="58" spans="2:12">
      <c r="B58" s="70" t="s">
        <v>65</v>
      </c>
      <c r="C58" s="69">
        <v>222.6576</v>
      </c>
      <c r="D58" s="68">
        <v>16062.759579247515</v>
      </c>
      <c r="E58" s="67">
        <v>15923.388160339313</v>
      </c>
      <c r="F58" s="66">
        <v>0</v>
      </c>
      <c r="G58" s="65">
        <f>'Fall 2022 P2 FON Calculation'!$E58*(1-'Fall 2022 P2 FON Calculation'!$F58)</f>
        <v>15923.388160339313</v>
      </c>
      <c r="H58" s="63">
        <f t="shared" si="1"/>
        <v>-139.37141890820203</v>
      </c>
      <c r="I58" s="64">
        <f t="shared" si="0"/>
        <v>-8.6766796340688995E-3</v>
      </c>
      <c r="J58" s="63">
        <f t="shared" si="2"/>
        <v>-2</v>
      </c>
      <c r="K58" s="114">
        <v>17</v>
      </c>
      <c r="L58" s="115">
        <f>Fall_FON_Calculations[[#This Row],[Base FON:
2020-21 R1 FON
(a)]]+Fall_FON_Calculations[[#This Row],[FTES Adjustment
(h = a*g)]]+Fall_FON_Calculations[[#This Row],[Increase due to 2021-22 Full-Time Faculty Funds
(See Fiscal Memo FS 21-06)* 
(i)]]</f>
        <v>237.6576</v>
      </c>
    </row>
    <row r="59" spans="2:12">
      <c r="B59" s="76" t="s">
        <v>66</v>
      </c>
      <c r="C59" s="75">
        <v>266.58</v>
      </c>
      <c r="D59" s="74">
        <v>19643.73</v>
      </c>
      <c r="E59" s="67">
        <v>19736.37</v>
      </c>
      <c r="F59" s="66">
        <v>0</v>
      </c>
      <c r="G59" s="73">
        <f>'Fall 2022 P2 FON Calculation'!$E59*(1-'Fall 2022 P2 FON Calculation'!$F59)</f>
        <v>19736.37</v>
      </c>
      <c r="H59" s="71">
        <f t="shared" si="1"/>
        <v>92.639999999999418</v>
      </c>
      <c r="I59" s="72">
        <f t="shared" si="0"/>
        <v>4.7160086195442222E-3</v>
      </c>
      <c r="J59" s="71">
        <f t="shared" si="2"/>
        <v>1</v>
      </c>
      <c r="K59" s="116">
        <v>23</v>
      </c>
      <c r="L59" s="115">
        <f>Fall_FON_Calculations[[#This Row],[Base FON:
2020-21 R1 FON
(a)]]+Fall_FON_Calculations[[#This Row],[FTES Adjustment
(h = a*g)]]+Fall_FON_Calculations[[#This Row],[Increase due to 2021-22 Full-Time Faculty Funds
(See Fiscal Memo FS 21-06)* 
(i)]]</f>
        <v>290.58</v>
      </c>
    </row>
    <row r="60" spans="2:12">
      <c r="B60" s="70" t="s">
        <v>67</v>
      </c>
      <c r="C60" s="69">
        <v>207.28219999999999</v>
      </c>
      <c r="D60" s="68">
        <v>9709.9480662744027</v>
      </c>
      <c r="E60" s="67">
        <v>9780.3870994116041</v>
      </c>
      <c r="F60" s="66">
        <v>0</v>
      </c>
      <c r="G60" s="65">
        <f>'Fall 2022 P2 FON Calculation'!$E60*(1-'Fall 2022 P2 FON Calculation'!$F60)</f>
        <v>9780.3870994116041</v>
      </c>
      <c r="H60" s="63">
        <f t="shared" si="1"/>
        <v>70.439033137201477</v>
      </c>
      <c r="I60" s="64">
        <f t="shared" si="0"/>
        <v>7.2543161566288516E-3</v>
      </c>
      <c r="J60" s="63">
        <f t="shared" si="2"/>
        <v>1</v>
      </c>
      <c r="K60" s="114">
        <v>11</v>
      </c>
      <c r="L60" s="115">
        <f>Fall_FON_Calculations[[#This Row],[Base FON:
2020-21 R1 FON
(a)]]+Fall_FON_Calculations[[#This Row],[FTES Adjustment
(h = a*g)]]+Fall_FON_Calculations[[#This Row],[Increase due to 2021-22 Full-Time Faculty Funds
(See Fiscal Memo FS 21-06)* 
(i)]]</f>
        <v>219.28219999999999</v>
      </c>
    </row>
    <row r="61" spans="2:12">
      <c r="B61" s="76" t="s">
        <v>68</v>
      </c>
      <c r="C61" s="75">
        <v>119.30240000000001</v>
      </c>
      <c r="D61" s="74">
        <v>6854.066645276991</v>
      </c>
      <c r="E61" s="67">
        <v>6893.8599679154868</v>
      </c>
      <c r="F61" s="66">
        <v>0</v>
      </c>
      <c r="G61" s="73">
        <f>'Fall 2022 P2 FON Calculation'!$E61*(1-'Fall 2022 P2 FON Calculation'!$F61)</f>
        <v>6893.8599679154868</v>
      </c>
      <c r="H61" s="71">
        <f t="shared" si="1"/>
        <v>39.793322638495738</v>
      </c>
      <c r="I61" s="72">
        <f t="shared" si="0"/>
        <v>5.8057974481349073E-3</v>
      </c>
      <c r="J61" s="71">
        <f t="shared" si="2"/>
        <v>0</v>
      </c>
      <c r="K61" s="116">
        <v>7</v>
      </c>
      <c r="L61" s="115">
        <f>Fall_FON_Calculations[[#This Row],[Base FON:
2020-21 R1 FON
(a)]]+Fall_FON_Calculations[[#This Row],[FTES Adjustment
(h = a*g)]]+Fall_FON_Calculations[[#This Row],[Increase due to 2021-22 Full-Time Faculty Funds
(See Fiscal Memo FS 21-06)* 
(i)]]</f>
        <v>126.30240000000001</v>
      </c>
    </row>
    <row r="62" spans="2:12">
      <c r="B62" s="70" t="s">
        <v>69</v>
      </c>
      <c r="C62" s="69">
        <v>199.73349999999999</v>
      </c>
      <c r="D62" s="68">
        <v>13548.49</v>
      </c>
      <c r="E62" s="67">
        <v>13967.59</v>
      </c>
      <c r="F62" s="66">
        <v>0</v>
      </c>
      <c r="G62" s="65">
        <f>'Fall 2022 P2 FON Calculation'!$E62*(1-'Fall 2022 P2 FON Calculation'!$F62)</f>
        <v>13967.59</v>
      </c>
      <c r="H62" s="63">
        <f t="shared" si="1"/>
        <v>419.10000000000036</v>
      </c>
      <c r="I62" s="64">
        <f t="shared" si="0"/>
        <v>3.093333648251579E-2</v>
      </c>
      <c r="J62" s="63">
        <f t="shared" si="2"/>
        <v>6</v>
      </c>
      <c r="K62" s="114">
        <v>15</v>
      </c>
      <c r="L62" s="115">
        <f>Fall_FON_Calculations[[#This Row],[Base FON:
2020-21 R1 FON
(a)]]+Fall_FON_Calculations[[#This Row],[FTES Adjustment
(h = a*g)]]+Fall_FON_Calculations[[#This Row],[Increase due to 2021-22 Full-Time Faculty Funds
(See Fiscal Memo FS 21-06)* 
(i)]]</f>
        <v>220.73349999999999</v>
      </c>
    </row>
    <row r="63" spans="2:12">
      <c r="B63" s="76" t="s">
        <v>159</v>
      </c>
      <c r="C63" s="75">
        <v>24.056600000000003</v>
      </c>
      <c r="D63" s="74">
        <v>1480.0533333333333</v>
      </c>
      <c r="E63" s="67">
        <v>1510.55</v>
      </c>
      <c r="F63" s="66">
        <v>0</v>
      </c>
      <c r="G63" s="73">
        <f>'Fall 2022 P2 FON Calculation'!$E63*(1-'Fall 2022 P2 FON Calculation'!$F63)</f>
        <v>1510.55</v>
      </c>
      <c r="H63" s="71">
        <f t="shared" si="1"/>
        <v>30.49666666666667</v>
      </c>
      <c r="I63" s="72">
        <f t="shared" si="0"/>
        <v>2.06051133292494E-2</v>
      </c>
      <c r="J63" s="71">
        <f t="shared" si="2"/>
        <v>0</v>
      </c>
      <c r="K63" s="116">
        <v>1</v>
      </c>
      <c r="L63" s="115">
        <f>Fall_FON_Calculations[[#This Row],[Base FON:
2020-21 R1 FON
(a)]]+Fall_FON_Calculations[[#This Row],[FTES Adjustment
(h = a*g)]]+Fall_FON_Calculations[[#This Row],[Increase due to 2021-22 Full-Time Faculty Funds
(See Fiscal Memo FS 21-06)* 
(i)]]</f>
        <v>25.056600000000003</v>
      </c>
    </row>
    <row r="64" spans="2:12">
      <c r="B64" s="70" t="s">
        <v>70</v>
      </c>
      <c r="C64" s="69">
        <v>124.7518</v>
      </c>
      <c r="D64" s="68">
        <v>6756.1100000000006</v>
      </c>
      <c r="E64" s="67">
        <v>7029.06</v>
      </c>
      <c r="F64" s="66">
        <v>0</v>
      </c>
      <c r="G64" s="65">
        <f>'Fall 2022 P2 FON Calculation'!$E64*(1-'Fall 2022 P2 FON Calculation'!$F64)</f>
        <v>7029.06</v>
      </c>
      <c r="H64" s="63">
        <f t="shared" si="1"/>
        <v>272.94999999999982</v>
      </c>
      <c r="I64" s="64">
        <f t="shared" si="0"/>
        <v>4.0400467132713912E-2</v>
      </c>
      <c r="J64" s="63">
        <f t="shared" si="2"/>
        <v>5</v>
      </c>
      <c r="K64" s="114">
        <v>7</v>
      </c>
      <c r="L64" s="115">
        <f>Fall_FON_Calculations[[#This Row],[Base FON:
2020-21 R1 FON
(a)]]+Fall_FON_Calculations[[#This Row],[FTES Adjustment
(h = a*g)]]+Fall_FON_Calculations[[#This Row],[Increase due to 2021-22 Full-Time Faculty Funds
(See Fiscal Memo FS 21-06)* 
(i)]]</f>
        <v>136.7518</v>
      </c>
    </row>
    <row r="65" spans="2:12">
      <c r="B65" s="76" t="s">
        <v>160</v>
      </c>
      <c r="C65" s="75">
        <v>290.63409999999999</v>
      </c>
      <c r="D65" s="74">
        <v>16215.286666666667</v>
      </c>
      <c r="E65" s="67">
        <v>16175.796666666665</v>
      </c>
      <c r="F65" s="66">
        <v>0</v>
      </c>
      <c r="G65" s="73">
        <f>'Fall 2022 P2 FON Calculation'!$E65*(1-'Fall 2022 P2 FON Calculation'!$F65)</f>
        <v>16175.796666666665</v>
      </c>
      <c r="H65" s="71">
        <f t="shared" si="1"/>
        <v>-39.490000000001601</v>
      </c>
      <c r="I65" s="72">
        <f t="shared" si="0"/>
        <v>-2.4353562666998754E-3</v>
      </c>
      <c r="J65" s="71">
        <f t="shared" si="2"/>
        <v>-1</v>
      </c>
      <c r="K65" s="116">
        <v>19</v>
      </c>
      <c r="L65" s="115">
        <f>Fall_FON_Calculations[[#This Row],[Base FON:
2020-21 R1 FON
(a)]]+Fall_FON_Calculations[[#This Row],[FTES Adjustment
(h = a*g)]]+Fall_FON_Calculations[[#This Row],[Increase due to 2021-22 Full-Time Faculty Funds
(See Fiscal Memo FS 21-06)* 
(i)]]</f>
        <v>308.63409999999999</v>
      </c>
    </row>
    <row r="66" spans="2:12">
      <c r="B66" s="70" t="s">
        <v>161</v>
      </c>
      <c r="C66" s="69">
        <v>391.79559999999998</v>
      </c>
      <c r="D66" s="68">
        <v>23426.75333333333</v>
      </c>
      <c r="E66" s="67">
        <v>23354.62</v>
      </c>
      <c r="F66" s="66">
        <v>0</v>
      </c>
      <c r="G66" s="65">
        <f>'Fall 2022 P2 FON Calculation'!$E66*(1-'Fall 2022 P2 FON Calculation'!$F66)</f>
        <v>23354.62</v>
      </c>
      <c r="H66" s="63">
        <f t="shared" si="1"/>
        <v>-72.133333333331393</v>
      </c>
      <c r="I66" s="64">
        <f t="shared" si="0"/>
        <v>-3.0791007318412625E-3</v>
      </c>
      <c r="J66" s="63">
        <f t="shared" si="2"/>
        <v>-2</v>
      </c>
      <c r="K66" s="114">
        <v>28</v>
      </c>
      <c r="L66" s="115">
        <f>Fall_FON_Calculations[[#This Row],[Base FON:
2020-21 R1 FON
(a)]]+Fall_FON_Calculations[[#This Row],[FTES Adjustment
(h = a*g)]]+Fall_FON_Calculations[[#This Row],[Increase due to 2021-22 Full-Time Faculty Funds
(See Fiscal Memo FS 21-06)* 
(i)]]</f>
        <v>417.79559999999998</v>
      </c>
    </row>
    <row r="67" spans="2:12">
      <c r="B67" s="76" t="s">
        <v>71</v>
      </c>
      <c r="C67" s="75">
        <v>259.16680000000002</v>
      </c>
      <c r="D67" s="74">
        <v>14745.503333333336</v>
      </c>
      <c r="E67" s="67">
        <v>14908.499999999998</v>
      </c>
      <c r="F67" s="66">
        <v>0</v>
      </c>
      <c r="G67" s="73">
        <f>'Fall 2022 P2 FON Calculation'!$E67*(1-'Fall 2022 P2 FON Calculation'!$F67)</f>
        <v>14908.499999999998</v>
      </c>
      <c r="H67" s="71">
        <f t="shared" si="1"/>
        <v>162.99666666666235</v>
      </c>
      <c r="I67" s="72">
        <f t="shared" si="0"/>
        <v>1.1053991374997416E-2</v>
      </c>
      <c r="J67" s="71">
        <f t="shared" si="2"/>
        <v>2</v>
      </c>
      <c r="K67" s="116">
        <v>15</v>
      </c>
      <c r="L67" s="115">
        <f>Fall_FON_Calculations[[#This Row],[Base FON:
2020-21 R1 FON
(a)]]+Fall_FON_Calculations[[#This Row],[FTES Adjustment
(h = a*g)]]+Fall_FON_Calculations[[#This Row],[Increase due to 2021-22 Full-Time Faculty Funds
(See Fiscal Memo FS 21-06)* 
(i)]]</f>
        <v>276.16680000000002</v>
      </c>
    </row>
    <row r="68" spans="2:12">
      <c r="B68" s="70" t="s">
        <v>72</v>
      </c>
      <c r="C68" s="69">
        <v>599.25130000000001</v>
      </c>
      <c r="D68" s="68">
        <v>31183.520394841693</v>
      </c>
      <c r="E68" s="67">
        <v>31368.675592262534</v>
      </c>
      <c r="F68" s="66">
        <v>0</v>
      </c>
      <c r="G68" s="65">
        <f>'Fall 2022 P2 FON Calculation'!$E68*(1-'Fall 2022 P2 FON Calculation'!$F68)</f>
        <v>31368.675592262534</v>
      </c>
      <c r="H68" s="63">
        <f t="shared" si="1"/>
        <v>185.15519742084143</v>
      </c>
      <c r="I68" s="64">
        <f t="shared" ref="I68:I75" si="3">H68/D68</f>
        <v>5.9375976501828635E-3</v>
      </c>
      <c r="J68" s="63">
        <f t="shared" si="2"/>
        <v>3</v>
      </c>
      <c r="K68" s="114">
        <v>33</v>
      </c>
      <c r="L68" s="115">
        <f>Fall_FON_Calculations[[#This Row],[Base FON:
2020-21 R1 FON
(a)]]+Fall_FON_Calculations[[#This Row],[FTES Adjustment
(h = a*g)]]+Fall_FON_Calculations[[#This Row],[Increase due to 2021-22 Full-Time Faculty Funds
(See Fiscal Memo FS 21-06)* 
(i)]]</f>
        <v>635.25130000000001</v>
      </c>
    </row>
    <row r="69" spans="2:12">
      <c r="B69" s="76" t="s">
        <v>73</v>
      </c>
      <c r="C69" s="75">
        <v>421.83260000000001</v>
      </c>
      <c r="D69" s="74">
        <v>25496.356666666663</v>
      </c>
      <c r="E69" s="67">
        <v>25558.040000000005</v>
      </c>
      <c r="F69" s="66">
        <v>0</v>
      </c>
      <c r="G69" s="73">
        <f>'Fall 2022 P2 FON Calculation'!$E69*(1-'Fall 2022 P2 FON Calculation'!$F69)</f>
        <v>25558.040000000005</v>
      </c>
      <c r="H69" s="71">
        <f t="shared" ref="H69:H75" si="4">G69-D69</f>
        <v>61.683333333341579</v>
      </c>
      <c r="I69" s="72">
        <f t="shared" si="3"/>
        <v>2.4192999078172183E-3</v>
      </c>
      <c r="J69" s="71">
        <f t="shared" ref="J69:J75" si="5">IF(C69*I69&gt;=0,ROUNDDOWN(C69*I69,0),ROUNDUP(C69*I69,0))</f>
        <v>1</v>
      </c>
      <c r="K69" s="116">
        <v>28</v>
      </c>
      <c r="L69" s="115">
        <f>Fall_FON_Calculations[[#This Row],[Base FON:
2020-21 R1 FON
(a)]]+Fall_FON_Calculations[[#This Row],[FTES Adjustment
(h = a*g)]]+Fall_FON_Calculations[[#This Row],[Increase due to 2021-22 Full-Time Faculty Funds
(See Fiscal Memo FS 21-06)* 
(i)]]</f>
        <v>450.83260000000001</v>
      </c>
    </row>
    <row r="70" spans="2:12">
      <c r="B70" s="70" t="s">
        <v>74</v>
      </c>
      <c r="C70" s="69">
        <v>131.01429999999999</v>
      </c>
      <c r="D70" s="68">
        <v>9485.25</v>
      </c>
      <c r="E70" s="67">
        <v>9534.17</v>
      </c>
      <c r="F70" s="66">
        <v>0</v>
      </c>
      <c r="G70" s="65">
        <f>'Fall 2022 P2 FON Calculation'!$E70*(1-'Fall 2022 P2 FON Calculation'!$F70)</f>
        <v>9534.17</v>
      </c>
      <c r="H70" s="63">
        <f t="shared" si="4"/>
        <v>48.920000000000073</v>
      </c>
      <c r="I70" s="64">
        <f t="shared" si="3"/>
        <v>5.1574813526264543E-3</v>
      </c>
      <c r="J70" s="63">
        <f t="shared" si="5"/>
        <v>0</v>
      </c>
      <c r="K70" s="114">
        <v>9</v>
      </c>
      <c r="L70" s="115">
        <f>Fall_FON_Calculations[[#This Row],[Base FON:
2020-21 R1 FON
(a)]]+Fall_FON_Calculations[[#This Row],[FTES Adjustment
(h = a*g)]]+Fall_FON_Calculations[[#This Row],[Increase due to 2021-22 Full-Time Faculty Funds
(See Fiscal Memo FS 21-06)* 
(i)]]</f>
        <v>140.01429999999999</v>
      </c>
    </row>
    <row r="71" spans="2:12">
      <c r="B71" s="76" t="s">
        <v>75</v>
      </c>
      <c r="C71" s="75">
        <v>92.5732</v>
      </c>
      <c r="D71" s="74">
        <v>5490.1236070000014</v>
      </c>
      <c r="E71" s="67">
        <v>5422.66</v>
      </c>
      <c r="F71" s="66">
        <v>0</v>
      </c>
      <c r="G71" s="73">
        <f>'Fall 2022 P2 FON Calculation'!$E71*(1-'Fall 2022 P2 FON Calculation'!$F71)</f>
        <v>5422.66</v>
      </c>
      <c r="H71" s="71">
        <f t="shared" si="4"/>
        <v>-67.463607000001502</v>
      </c>
      <c r="I71" s="72">
        <f t="shared" si="3"/>
        <v>-1.2288176337957901E-2</v>
      </c>
      <c r="J71" s="71">
        <f t="shared" si="5"/>
        <v>-2</v>
      </c>
      <c r="K71" s="116">
        <v>5</v>
      </c>
      <c r="L71" s="115">
        <f>Fall_FON_Calculations[[#This Row],[Base FON:
2020-21 R1 FON
(a)]]+Fall_FON_Calculations[[#This Row],[FTES Adjustment
(h = a*g)]]+Fall_FON_Calculations[[#This Row],[Increase due to 2021-22 Full-Time Faculty Funds
(See Fiscal Memo FS 21-06)* 
(i)]]</f>
        <v>95.5732</v>
      </c>
    </row>
    <row r="72" spans="2:12">
      <c r="B72" s="70" t="s">
        <v>76</v>
      </c>
      <c r="C72" s="69">
        <v>63.719900000000003</v>
      </c>
      <c r="D72" s="68">
        <v>2870.724114356537</v>
      </c>
      <c r="E72" s="67">
        <v>2868.2293910232038</v>
      </c>
      <c r="F72" s="66">
        <v>0</v>
      </c>
      <c r="G72" s="65">
        <f>'Fall 2022 P2 FON Calculation'!$E72*(1-'Fall 2022 P2 FON Calculation'!$F72)</f>
        <v>2868.2293910232038</v>
      </c>
      <c r="H72" s="63">
        <f t="shared" si="4"/>
        <v>-2.4947233333332406</v>
      </c>
      <c r="I72" s="64">
        <f t="shared" si="3"/>
        <v>-8.6902232118269025E-4</v>
      </c>
      <c r="J72" s="63">
        <f t="shared" si="5"/>
        <v>-1</v>
      </c>
      <c r="K72" s="114">
        <v>2</v>
      </c>
      <c r="L72" s="115">
        <f>Fall_FON_Calculations[[#This Row],[Base FON:
2020-21 R1 FON
(a)]]+Fall_FON_Calculations[[#This Row],[FTES Adjustment
(h = a*g)]]+Fall_FON_Calculations[[#This Row],[Increase due to 2021-22 Full-Time Faculty Funds
(See Fiscal Memo FS 21-06)* 
(i)]]</f>
        <v>64.719899999999996</v>
      </c>
    </row>
    <row r="73" spans="2:12">
      <c r="B73" s="76" t="s">
        <v>77</v>
      </c>
      <c r="C73" s="75">
        <v>226.1437</v>
      </c>
      <c r="D73" s="74">
        <v>10727.446666666667</v>
      </c>
      <c r="E73" s="67">
        <v>10307.853333333334</v>
      </c>
      <c r="F73" s="66">
        <v>0</v>
      </c>
      <c r="G73" s="73">
        <f>'Fall 2022 P2 FON Calculation'!$E73*(1-'Fall 2022 P2 FON Calculation'!$F73)</f>
        <v>10307.853333333334</v>
      </c>
      <c r="H73" s="71">
        <f t="shared" si="4"/>
        <v>-419.59333333333234</v>
      </c>
      <c r="I73" s="72">
        <f t="shared" si="3"/>
        <v>-3.9113998547029113E-2</v>
      </c>
      <c r="J73" s="71">
        <f t="shared" si="5"/>
        <v>-9</v>
      </c>
      <c r="K73" s="116">
        <v>0</v>
      </c>
      <c r="L73" s="115">
        <f>Fall_FON_Calculations[[#This Row],[Base FON:
2020-21 R1 FON
(a)]]+Fall_FON_Calculations[[#This Row],[FTES Adjustment
(h = a*g)]]+Fall_FON_Calculations[[#This Row],[Increase due to 2021-22 Full-Time Faculty Funds
(See Fiscal Memo FS 21-06)* 
(i)]]</f>
        <v>217.1437</v>
      </c>
    </row>
    <row r="74" spans="2:12">
      <c r="B74" s="70" t="s">
        <v>78</v>
      </c>
      <c r="C74" s="69">
        <v>290.23689999999999</v>
      </c>
      <c r="D74" s="68">
        <v>15719.6</v>
      </c>
      <c r="E74" s="67">
        <v>15894.47</v>
      </c>
      <c r="F74" s="66">
        <v>0</v>
      </c>
      <c r="G74" s="65">
        <f>'Fall 2022 P2 FON Calculation'!$E74*(1-'Fall 2022 P2 FON Calculation'!$F74)</f>
        <v>15894.47</v>
      </c>
      <c r="H74" s="63">
        <f t="shared" si="4"/>
        <v>174.86999999999898</v>
      </c>
      <c r="I74" s="64">
        <f>H74/D74</f>
        <v>1.1124328863329791E-2</v>
      </c>
      <c r="J74" s="63">
        <f t="shared" si="5"/>
        <v>3</v>
      </c>
      <c r="K74" s="114">
        <v>16</v>
      </c>
      <c r="L74" s="115">
        <f>Fall_FON_Calculations[[#This Row],[Base FON:
2020-21 R1 FON
(a)]]+Fall_FON_Calculations[[#This Row],[FTES Adjustment
(h = a*g)]]+Fall_FON_Calculations[[#This Row],[Increase due to 2021-22 Full-Time Faculty Funds
(See Fiscal Memo FS 21-06)* 
(i)]]</f>
        <v>309.23689999999999</v>
      </c>
    </row>
    <row r="75" spans="2:12" ht="15" thickBot="1">
      <c r="B75" s="76" t="s">
        <v>79</v>
      </c>
      <c r="C75" s="75">
        <v>98.106399999999994</v>
      </c>
      <c r="D75" s="74">
        <v>7327.3400000000011</v>
      </c>
      <c r="E75" s="67">
        <v>7409.3</v>
      </c>
      <c r="F75" s="66">
        <v>0</v>
      </c>
      <c r="G75" s="73">
        <f>'Fall 2022 P2 FON Calculation'!$E75*(1-'Fall 2022 P2 FON Calculation'!$F75)</f>
        <v>7409.3</v>
      </c>
      <c r="H75" s="71">
        <f t="shared" si="4"/>
        <v>81.959999999999127</v>
      </c>
      <c r="I75" s="72">
        <f t="shared" si="3"/>
        <v>1.1185505244740808E-2</v>
      </c>
      <c r="J75" s="71">
        <f t="shared" si="5"/>
        <v>1</v>
      </c>
      <c r="K75" s="116">
        <v>7</v>
      </c>
      <c r="L75" s="118">
        <f>Fall_FON_Calculations[[#This Row],[Base FON:
2020-21 R1 FON
(a)]]+Fall_FON_Calculations[[#This Row],[FTES Adjustment
(h = a*g)]]+Fall_FON_Calculations[[#This Row],[Increase due to 2021-22 Full-Time Faculty Funds
(See Fiscal Memo FS 21-06)* 
(i)]]</f>
        <v>106.10639999999999</v>
      </c>
    </row>
    <row r="76" spans="2:12" ht="15.6" thickTop="1" thickBot="1">
      <c r="B76" s="137" t="s">
        <v>226</v>
      </c>
      <c r="C76" s="138">
        <f>SUBTOTAL(109,Fall_FON_Calculations[Base FON:
2020-21 R1 FON
(a)])</f>
        <v>17474.251999999997</v>
      </c>
      <c r="D76" s="139">
        <f>SUBTOTAL(109,Fall_FON_Calculations[Base Credit FTES: 
2020-21 R1 Funded Credit FTES
(b)])</f>
        <v>1037436.3039886164</v>
      </c>
      <c r="E76" s="140">
        <f>SUBTOTAL(109,Fall_FON_Calculations[Funded Credit FTES:
2021-22 P2 Funded Credit FTES
(c )])</f>
        <v>1033192.6499369392</v>
      </c>
      <c r="F76" s="141" t="s">
        <v>227</v>
      </c>
      <c r="G76" s="142">
        <f>SUBTOTAL(109,Fall_FON_Calculations[Funded Credit FTES adjusted for Deficit Percentage
(e = c*(1-d))])</f>
        <v>1033192.6499369392</v>
      </c>
      <c r="H76" s="143">
        <f>SUBTOTAL(109,Fall_FON_Calculations[Change in FTES 
Growth (Decline)
(f = e-b)])</f>
        <v>-4243.6540516773712</v>
      </c>
      <c r="I76" s="144">
        <f>H76/D76</f>
        <v>-4.0905200978236982E-3</v>
      </c>
      <c r="J76" s="143">
        <f>SUBTOTAL(109,Fall_FON_Calculations[FTES Adjustment
(h = a*g)])</f>
        <v>-115</v>
      </c>
      <c r="K76" s="145">
        <f>SUBTOTAL(109,Fall_FON_Calculations[Increase due to 2021-22 Full-Time Faculty Funds
(See Fiscal Memo FS 21-06)* 
(i)])</f>
        <v>1073</v>
      </c>
      <c r="L76" s="138">
        <f>SUBTOTAL(109,Fall_FON_Calculations[Fall 2022 P2 FON
(j = a + h + i )])</f>
        <v>18432.251999999997</v>
      </c>
    </row>
    <row r="77" spans="2:12" ht="15" thickTop="1">
      <c r="B77" s="119" t="s">
        <v>272</v>
      </c>
    </row>
    <row r="79" spans="2:12" s="121" customFormat="1">
      <c r="B79" s="120">
        <v>1</v>
      </c>
      <c r="C79" s="121">
        <v>2</v>
      </c>
      <c r="D79" s="120">
        <v>3</v>
      </c>
      <c r="E79" s="121">
        <v>4</v>
      </c>
      <c r="F79" s="120">
        <v>5</v>
      </c>
      <c r="G79" s="121">
        <v>6</v>
      </c>
      <c r="H79" s="120">
        <v>7</v>
      </c>
      <c r="I79" s="121">
        <v>8</v>
      </c>
      <c r="J79" s="120">
        <v>9</v>
      </c>
      <c r="K79" s="121">
        <v>10</v>
      </c>
      <c r="L79" s="120">
        <v>11</v>
      </c>
    </row>
  </sheetData>
  <pageMargins left="0.7" right="0.7" top="0.75" bottom="0.75" header="0.3" footer="0.3"/>
  <pageSetup paperSize="5" scale="69" fitToHeight="0" orientation="landscape" r:id="rId1"/>
  <headerFooter>
    <oddHeader>&amp;LCalifornia Community Colleges</oddHeader>
    <oddFooter>&amp;R&amp;D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showGridLines="0" workbookViewId="0"/>
  </sheetViews>
  <sheetFormatPr defaultColWidth="8.88671875" defaultRowHeight="14.4"/>
  <cols>
    <col min="1" max="1" width="4" style="42" customWidth="1"/>
    <col min="2" max="2" width="2.6640625" style="42" customWidth="1"/>
    <col min="3" max="3" width="11.6640625" style="42" customWidth="1"/>
    <col min="4" max="4" width="44.88671875" style="42" customWidth="1"/>
    <col min="5" max="5" width="15.6640625" style="43" customWidth="1"/>
    <col min="6" max="16384" width="8.88671875" style="42"/>
  </cols>
  <sheetData>
    <row r="1" spans="2:6" ht="40.200000000000003" customHeight="1">
      <c r="B1" s="44"/>
      <c r="C1" s="44"/>
      <c r="D1" s="44"/>
      <c r="E1" s="45"/>
      <c r="F1" s="44"/>
    </row>
    <row r="2" spans="2:6" s="57" customFormat="1">
      <c r="C2" s="53" t="s">
        <v>215</v>
      </c>
      <c r="D2" s="47"/>
      <c r="E2" s="48"/>
    </row>
    <row r="3" spans="2:6">
      <c r="B3" s="44"/>
      <c r="C3" s="53" t="s">
        <v>155</v>
      </c>
      <c r="D3" s="56"/>
      <c r="E3" s="48"/>
      <c r="F3" s="44" t="s">
        <v>154</v>
      </c>
    </row>
    <row r="4" spans="2:6">
      <c r="B4" s="44"/>
      <c r="C4" s="53" t="s">
        <v>153</v>
      </c>
      <c r="D4" s="47"/>
      <c r="E4" s="48"/>
      <c r="F4" s="44"/>
    </row>
    <row r="5" spans="2:6">
      <c r="B5" s="44"/>
      <c r="C5" s="47"/>
      <c r="D5" s="47" t="s">
        <v>152</v>
      </c>
      <c r="E5" s="55"/>
      <c r="F5" s="44" t="s">
        <v>151</v>
      </c>
    </row>
    <row r="6" spans="2:6">
      <c r="B6" s="44"/>
      <c r="C6" s="47"/>
      <c r="D6" s="47" t="s">
        <v>150</v>
      </c>
      <c r="E6" s="54"/>
      <c r="F6" s="44" t="s">
        <v>149</v>
      </c>
    </row>
    <row r="7" spans="2:6">
      <c r="B7" s="44"/>
      <c r="C7" s="47"/>
      <c r="D7" s="47"/>
      <c r="E7" s="48"/>
      <c r="F7" s="44"/>
    </row>
    <row r="8" spans="2:6">
      <c r="B8" s="44"/>
      <c r="C8" s="47"/>
      <c r="D8" s="47"/>
      <c r="E8" s="48"/>
      <c r="F8" s="44"/>
    </row>
    <row r="9" spans="2:6">
      <c r="B9" s="44"/>
      <c r="C9" s="53" t="s">
        <v>216</v>
      </c>
      <c r="D9" s="47"/>
      <c r="E9" s="48"/>
      <c r="F9" s="44"/>
    </row>
    <row r="10" spans="2:6">
      <c r="B10" s="44"/>
      <c r="C10" s="48" t="s">
        <v>148</v>
      </c>
      <c r="D10" s="47" t="s">
        <v>147</v>
      </c>
      <c r="E10" s="46" t="e">
        <f>VLOOKUP($D$3,Fall2022P2,2,FALSE)</f>
        <v>#N/A</v>
      </c>
      <c r="F10" s="44" t="s">
        <v>217</v>
      </c>
    </row>
    <row r="11" spans="2:6">
      <c r="B11" s="44"/>
      <c r="C11" s="48" t="s">
        <v>146</v>
      </c>
      <c r="D11" s="47" t="s">
        <v>145</v>
      </c>
      <c r="E11" s="52" t="e">
        <f>VLOOKUP($D$3,Fall2022P2,3,FALSE)</f>
        <v>#N/A</v>
      </c>
      <c r="F11" s="44" t="s">
        <v>217</v>
      </c>
    </row>
    <row r="12" spans="2:6">
      <c r="B12" s="44"/>
      <c r="C12" s="48" t="s">
        <v>144</v>
      </c>
      <c r="D12" s="47" t="s">
        <v>143</v>
      </c>
      <c r="E12" s="52">
        <f>E5</f>
        <v>0</v>
      </c>
      <c r="F12" s="44" t="s">
        <v>142</v>
      </c>
    </row>
    <row r="13" spans="2:6">
      <c r="B13" s="44"/>
      <c r="C13" s="48" t="s">
        <v>141</v>
      </c>
      <c r="D13" s="47" t="s">
        <v>140</v>
      </c>
      <c r="E13" s="51">
        <f>1-E6</f>
        <v>1</v>
      </c>
      <c r="F13" s="44"/>
    </row>
    <row r="14" spans="2:6">
      <c r="B14" s="44"/>
      <c r="C14" s="48" t="s">
        <v>139</v>
      </c>
      <c r="D14" s="47" t="s">
        <v>138</v>
      </c>
      <c r="E14" s="50">
        <f>E12*E13</f>
        <v>0</v>
      </c>
      <c r="F14" s="44"/>
    </row>
    <row r="15" spans="2:6">
      <c r="B15" s="44"/>
      <c r="C15" s="48" t="s">
        <v>137</v>
      </c>
      <c r="D15" s="47" t="s">
        <v>136</v>
      </c>
      <c r="E15" s="50" t="e">
        <f>E14-E11</f>
        <v>#N/A</v>
      </c>
      <c r="F15" s="44"/>
    </row>
    <row r="16" spans="2:6">
      <c r="B16" s="44"/>
      <c r="C16" s="48" t="s">
        <v>135</v>
      </c>
      <c r="D16" s="47" t="s">
        <v>134</v>
      </c>
      <c r="E16" s="49" t="e">
        <f>E15/E11</f>
        <v>#N/A</v>
      </c>
      <c r="F16" s="44"/>
    </row>
    <row r="17" spans="2:6">
      <c r="B17" s="44"/>
      <c r="C17" s="48" t="s">
        <v>133</v>
      </c>
      <c r="D17" s="47" t="s">
        <v>132</v>
      </c>
      <c r="E17" s="46" t="e">
        <f>E10*E16</f>
        <v>#N/A</v>
      </c>
      <c r="F17" s="44"/>
    </row>
    <row r="18" spans="2:6">
      <c r="B18" s="44"/>
      <c r="C18" s="48" t="s">
        <v>218</v>
      </c>
      <c r="D18" s="47" t="s">
        <v>219</v>
      </c>
      <c r="E18" s="46" t="e">
        <f>VLOOKUP($D$3,Fall2022P2,10,FALSE)</f>
        <v>#N/A</v>
      </c>
      <c r="F18" s="44" t="s">
        <v>220</v>
      </c>
    </row>
    <row r="19" spans="2:6">
      <c r="B19" s="44"/>
      <c r="C19" s="48" t="s">
        <v>221</v>
      </c>
      <c r="D19" s="47" t="s">
        <v>131</v>
      </c>
      <c r="E19" s="46" t="e">
        <f>E10+E17+E18</f>
        <v>#N/A</v>
      </c>
      <c r="F19" s="44"/>
    </row>
    <row r="20" spans="2:6">
      <c r="B20" s="44"/>
      <c r="C20" s="44"/>
      <c r="D20" s="44"/>
      <c r="E20" s="45"/>
      <c r="F20" s="44"/>
    </row>
    <row r="21" spans="2:6">
      <c r="B21" s="44"/>
      <c r="C21" s="44"/>
      <c r="D21" s="44"/>
      <c r="E21" s="45"/>
      <c r="F21" s="44"/>
    </row>
  </sheetData>
  <dataConsolidate/>
  <pageMargins left="0.7" right="0.7" top="0.75" bottom="0.75" header="0.3" footer="0.3"/>
  <pageSetup orientation="portrait" verticalDpi="0" r:id="rId1"/>
  <headerFooter>
    <oddHeader>&amp;LCalifornia Community Colleges</oddHeader>
    <oddFooter>&amp;R&amp;D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District" prompt="Choose your district">
          <x14:formula1>
            <xm:f>'Fall 2022 P2 FON Calculation'!$B$4:$B$75</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110" zoomScaleNormal="110" workbookViewId="0">
      <pane ySplit="1" topLeftCell="A2" activePane="bottomLeft" state="frozen"/>
      <selection pane="bottomLeft" sqref="A1:G1"/>
    </sheetView>
  </sheetViews>
  <sheetFormatPr defaultRowHeight="14.4"/>
  <cols>
    <col min="1" max="1" width="15" style="1" customWidth="1"/>
    <col min="2" max="2" width="21.44140625" customWidth="1"/>
    <col min="3" max="3" width="18" customWidth="1"/>
    <col min="4" max="4" width="10.88671875" bestFit="1" customWidth="1"/>
    <col min="6" max="6" width="10.88671875" customWidth="1"/>
    <col min="7" max="7" width="18.109375" customWidth="1"/>
    <col min="8" max="8" width="1.6640625" customWidth="1"/>
  </cols>
  <sheetData>
    <row r="1" spans="1:7" ht="23.4">
      <c r="A1" s="186" t="s">
        <v>262</v>
      </c>
      <c r="B1" s="186"/>
      <c r="C1" s="186"/>
      <c r="D1" s="186"/>
      <c r="E1" s="186"/>
      <c r="F1" s="186"/>
      <c r="G1" s="186"/>
    </row>
    <row r="2" spans="1:7">
      <c r="A2" s="189" t="s">
        <v>205</v>
      </c>
      <c r="B2" s="189"/>
      <c r="C2" s="189"/>
      <c r="D2" s="189"/>
      <c r="E2" s="189"/>
      <c r="F2" s="189"/>
      <c r="G2" s="189"/>
    </row>
    <row r="3" spans="1:7" ht="14.25" customHeight="1">
      <c r="A3" s="105" t="s">
        <v>204</v>
      </c>
      <c r="B3" s="188" t="s">
        <v>203</v>
      </c>
      <c r="C3" s="188"/>
      <c r="D3" s="188"/>
      <c r="E3" s="188"/>
      <c r="F3" s="188"/>
      <c r="G3" s="188"/>
    </row>
    <row r="4" spans="1:7" ht="34.200000000000003" customHeight="1" thickBot="1">
      <c r="A4" s="103" t="s">
        <v>191</v>
      </c>
      <c r="B4" s="188" t="s">
        <v>202</v>
      </c>
      <c r="C4" s="188"/>
      <c r="D4" s="188"/>
      <c r="E4" s="188"/>
      <c r="F4" s="188"/>
      <c r="G4" s="188"/>
    </row>
    <row r="5" spans="1:7">
      <c r="A5" s="183" t="s">
        <v>201</v>
      </c>
      <c r="B5" s="184"/>
      <c r="C5" s="184"/>
      <c r="D5" s="184"/>
      <c r="E5" s="184"/>
      <c r="F5" s="184"/>
      <c r="G5" s="185"/>
    </row>
    <row r="6" spans="1:7" ht="28.5" customHeight="1">
      <c r="A6" s="177" t="s">
        <v>197</v>
      </c>
      <c r="B6" s="178"/>
      <c r="C6" s="178" t="s">
        <v>200</v>
      </c>
      <c r="D6" s="178"/>
      <c r="E6" s="178"/>
      <c r="F6" s="178"/>
      <c r="G6" s="191"/>
    </row>
    <row r="7" spans="1:7" ht="28.5" customHeight="1" thickBot="1">
      <c r="A7" s="179" t="s">
        <v>195</v>
      </c>
      <c r="B7" s="180"/>
      <c r="C7" s="180" t="s">
        <v>199</v>
      </c>
      <c r="D7" s="180"/>
      <c r="E7" s="180"/>
      <c r="F7" s="180"/>
      <c r="G7" s="192"/>
    </row>
    <row r="8" spans="1:7" s="100" customFormat="1">
      <c r="A8" s="183" t="s">
        <v>198</v>
      </c>
      <c r="B8" s="184"/>
      <c r="C8" s="184"/>
      <c r="D8" s="184"/>
      <c r="E8" s="184"/>
      <c r="F8" s="184"/>
      <c r="G8" s="185"/>
    </row>
    <row r="9" spans="1:7" ht="28.5" customHeight="1">
      <c r="A9" s="177" t="s">
        <v>197</v>
      </c>
      <c r="B9" s="178"/>
      <c r="C9" s="193" t="s">
        <v>196</v>
      </c>
      <c r="D9" s="193"/>
      <c r="E9" s="193"/>
      <c r="F9" s="193"/>
      <c r="G9" s="194"/>
    </row>
    <row r="10" spans="1:7" ht="28.5" customHeight="1" thickBot="1">
      <c r="A10" s="179" t="s">
        <v>195</v>
      </c>
      <c r="B10" s="180"/>
      <c r="C10" s="180" t="s">
        <v>194</v>
      </c>
      <c r="D10" s="180"/>
      <c r="E10" s="180"/>
      <c r="F10" s="180"/>
      <c r="G10" s="192"/>
    </row>
    <row r="11" spans="1:7" ht="54" customHeight="1">
      <c r="A11" s="104" t="s">
        <v>193</v>
      </c>
      <c r="B11" s="190" t="s">
        <v>192</v>
      </c>
      <c r="C11" s="190"/>
      <c r="D11" s="190"/>
      <c r="E11" s="190"/>
      <c r="F11" s="190"/>
      <c r="G11" s="190"/>
    </row>
    <row r="12" spans="1:7" ht="59.25" customHeight="1">
      <c r="A12" s="104" t="s">
        <v>191</v>
      </c>
      <c r="B12" s="188" t="s">
        <v>190</v>
      </c>
      <c r="C12" s="188"/>
      <c r="D12" s="188"/>
      <c r="E12" s="188"/>
      <c r="F12" s="188"/>
      <c r="G12" s="188"/>
    </row>
    <row r="13" spans="1:7" ht="28.5" customHeight="1">
      <c r="A13" s="187" t="s">
        <v>228</v>
      </c>
      <c r="B13" s="187"/>
      <c r="C13" s="187"/>
      <c r="D13" s="187"/>
      <c r="E13" s="187"/>
      <c r="F13" s="187"/>
      <c r="G13" s="187"/>
    </row>
    <row r="14" spans="1:7">
      <c r="A14" s="95"/>
      <c r="B14" s="100" t="s">
        <v>81</v>
      </c>
    </row>
    <row r="15" spans="1:7">
      <c r="A15" s="94" t="s">
        <v>80</v>
      </c>
      <c r="B15" s="102">
        <v>108347</v>
      </c>
      <c r="C15" t="s">
        <v>189</v>
      </c>
    </row>
    <row r="16" spans="1:7">
      <c r="A16" s="95" t="s">
        <v>84</v>
      </c>
      <c r="B16" s="2">
        <f>B15*0.25</f>
        <v>27086.75</v>
      </c>
      <c r="C16" t="s">
        <v>82</v>
      </c>
    </row>
    <row r="17" spans="1:7">
      <c r="A17" s="1" t="s">
        <v>184</v>
      </c>
      <c r="B17" s="127">
        <f>B15+B16</f>
        <v>135433.75</v>
      </c>
      <c r="C17" t="s">
        <v>83</v>
      </c>
    </row>
    <row r="18" spans="1:7" ht="5.0999999999999996" customHeight="1">
      <c r="B18" s="101"/>
    </row>
    <row r="19" spans="1:7">
      <c r="A19" s="95"/>
      <c r="B19" s="100" t="s">
        <v>85</v>
      </c>
    </row>
    <row r="20" spans="1:7" ht="32.25" customHeight="1">
      <c r="B20" s="99">
        <v>83.04</v>
      </c>
      <c r="C20" s="181" t="s">
        <v>188</v>
      </c>
      <c r="D20" s="182"/>
      <c r="E20" s="182"/>
      <c r="F20" s="182"/>
      <c r="G20" s="182"/>
    </row>
    <row r="21" spans="1:7">
      <c r="C21" t="s">
        <v>187</v>
      </c>
    </row>
    <row r="22" spans="1:7">
      <c r="A22" s="94" t="s">
        <v>183</v>
      </c>
      <c r="B22" s="98">
        <f>15*35*B20</f>
        <v>43596</v>
      </c>
      <c r="C22" t="s">
        <v>86</v>
      </c>
    </row>
    <row r="23" spans="1:7" ht="5.0999999999999996" customHeight="1">
      <c r="A23" s="95"/>
    </row>
    <row r="24" spans="1:7">
      <c r="A24" s="95"/>
      <c r="C24" t="s">
        <v>87</v>
      </c>
    </row>
    <row r="25" spans="1:7">
      <c r="A25" s="95"/>
      <c r="B25" s="2">
        <f>$B$22*7.65%</f>
        <v>3335.0940000000001</v>
      </c>
      <c r="C25" t="s">
        <v>88</v>
      </c>
    </row>
    <row r="26" spans="1:7">
      <c r="A26" s="95"/>
      <c r="B26" s="97">
        <f>$B$22*1.5%</f>
        <v>653.93999999999994</v>
      </c>
      <c r="C26" t="s">
        <v>89</v>
      </c>
    </row>
    <row r="27" spans="1:7">
      <c r="A27" s="95"/>
      <c r="B27" s="97">
        <f>$B$22*0.1%</f>
        <v>43.596000000000004</v>
      </c>
      <c r="C27" t="s">
        <v>90</v>
      </c>
    </row>
    <row r="28" spans="1:7">
      <c r="A28" s="95"/>
      <c r="B28" s="96">
        <f>$B$22*1.5%</f>
        <v>653.93999999999994</v>
      </c>
      <c r="C28" t="s">
        <v>91</v>
      </c>
    </row>
    <row r="29" spans="1:7">
      <c r="A29" s="95" t="s">
        <v>186</v>
      </c>
      <c r="B29" s="98">
        <f>SUM(B25:B28)</f>
        <v>4686.57</v>
      </c>
      <c r="C29" t="s">
        <v>92</v>
      </c>
    </row>
    <row r="30" spans="1:7">
      <c r="A30" s="95"/>
    </row>
    <row r="31" spans="1:7">
      <c r="A31" s="95" t="s">
        <v>273</v>
      </c>
      <c r="B31" s="127">
        <f>B29+B22</f>
        <v>48282.57</v>
      </c>
      <c r="C31" t="s">
        <v>93</v>
      </c>
    </row>
    <row r="32" spans="1:7">
      <c r="A32" s="95"/>
    </row>
    <row r="33" spans="1:7" ht="15" thickBot="1">
      <c r="A33" s="94" t="s">
        <v>274</v>
      </c>
      <c r="B33" s="93">
        <f>ROUND(B17-B31,0)</f>
        <v>87151</v>
      </c>
      <c r="C33" t="s">
        <v>275</v>
      </c>
    </row>
    <row r="35" spans="1:7">
      <c r="B35" s="2"/>
    </row>
    <row r="36" spans="1:7">
      <c r="A36" s="176" t="s">
        <v>185</v>
      </c>
      <c r="B36" s="176"/>
      <c r="C36" s="176"/>
      <c r="D36" s="176"/>
      <c r="E36" s="176"/>
      <c r="F36" s="176"/>
      <c r="G36" s="176"/>
    </row>
    <row r="37" spans="1:7">
      <c r="C37" s="125" t="s">
        <v>80</v>
      </c>
      <c r="D37" s="125" t="s">
        <v>84</v>
      </c>
      <c r="E37" s="125" t="s">
        <v>183</v>
      </c>
      <c r="F37" s="125" t="s">
        <v>186</v>
      </c>
      <c r="G37" s="125" t="s">
        <v>278</v>
      </c>
    </row>
    <row r="38" spans="1:7" ht="28.8">
      <c r="A38" s="126" t="s">
        <v>237</v>
      </c>
      <c r="B38" s="123" t="s">
        <v>239</v>
      </c>
      <c r="C38" s="122" t="s">
        <v>182</v>
      </c>
      <c r="D38" s="123" t="s">
        <v>277</v>
      </c>
      <c r="E38" s="122" t="s">
        <v>181</v>
      </c>
      <c r="F38" s="124" t="s">
        <v>276</v>
      </c>
      <c r="G38" s="123" t="s">
        <v>180</v>
      </c>
    </row>
    <row r="39" spans="1:7">
      <c r="A39" s="92" t="s">
        <v>179</v>
      </c>
      <c r="B39" s="91" t="s">
        <v>178</v>
      </c>
      <c r="C39" s="90">
        <v>92277</v>
      </c>
      <c r="D39" s="90">
        <v>23069</v>
      </c>
      <c r="E39" s="90">
        <v>35338</v>
      </c>
      <c r="F39" s="89">
        <v>3799</v>
      </c>
      <c r="G39" s="88">
        <f t="shared" ref="G39:G45" si="0">(C39+D39)-(E39+F39)</f>
        <v>76209</v>
      </c>
    </row>
    <row r="40" spans="1:7">
      <c r="A40" s="87" t="s">
        <v>178</v>
      </c>
      <c r="B40" s="86" t="s">
        <v>177</v>
      </c>
      <c r="C40" s="85">
        <v>92617</v>
      </c>
      <c r="D40" s="85">
        <v>23154</v>
      </c>
      <c r="E40" s="85">
        <v>37690</v>
      </c>
      <c r="F40" s="84">
        <v>4052</v>
      </c>
      <c r="G40" s="83">
        <f t="shared" si="0"/>
        <v>74029</v>
      </c>
    </row>
    <row r="41" spans="1:7">
      <c r="A41" s="82" t="s">
        <v>177</v>
      </c>
      <c r="B41" s="81" t="s">
        <v>176</v>
      </c>
      <c r="C41" s="80">
        <v>96281</v>
      </c>
      <c r="D41" s="80">
        <v>24070</v>
      </c>
      <c r="E41" s="80">
        <v>39086</v>
      </c>
      <c r="F41" s="79">
        <v>4202</v>
      </c>
      <c r="G41" s="78">
        <f t="shared" si="0"/>
        <v>77063</v>
      </c>
    </row>
    <row r="42" spans="1:7">
      <c r="A42" s="87" t="s">
        <v>176</v>
      </c>
      <c r="B42" s="86" t="s">
        <v>175</v>
      </c>
      <c r="C42" s="85">
        <v>99300</v>
      </c>
      <c r="D42" s="85">
        <v>24825</v>
      </c>
      <c r="E42" s="85">
        <v>39617</v>
      </c>
      <c r="F42" s="84">
        <v>4258</v>
      </c>
      <c r="G42" s="83">
        <f t="shared" si="0"/>
        <v>80250</v>
      </c>
    </row>
    <row r="43" spans="1:7">
      <c r="A43" s="82" t="s">
        <v>175</v>
      </c>
      <c r="B43" s="81" t="s">
        <v>174</v>
      </c>
      <c r="C43" s="80">
        <v>102001</v>
      </c>
      <c r="D43" s="80">
        <v>25500</v>
      </c>
      <c r="E43" s="80">
        <v>40404</v>
      </c>
      <c r="F43" s="79">
        <v>4343</v>
      </c>
      <c r="G43" s="78">
        <f t="shared" si="0"/>
        <v>82754</v>
      </c>
    </row>
    <row r="44" spans="1:7">
      <c r="A44" s="87" t="s">
        <v>174</v>
      </c>
      <c r="B44" s="86" t="s">
        <v>173</v>
      </c>
      <c r="C44" s="85">
        <v>105033</v>
      </c>
      <c r="D44" s="85">
        <v>26258.25</v>
      </c>
      <c r="E44" s="85">
        <v>40199.25</v>
      </c>
      <c r="F44" s="84">
        <v>4321.4193749999995</v>
      </c>
      <c r="G44" s="83">
        <f t="shared" si="0"/>
        <v>86770.580625000002</v>
      </c>
    </row>
    <row r="45" spans="1:7">
      <c r="A45" s="82" t="s">
        <v>173</v>
      </c>
      <c r="B45" s="81" t="s">
        <v>238</v>
      </c>
      <c r="C45" s="80">
        <f>B15</f>
        <v>108347</v>
      </c>
      <c r="D45" s="80">
        <f>B16</f>
        <v>27086.75</v>
      </c>
      <c r="E45" s="80">
        <f>B22</f>
        <v>43596</v>
      </c>
      <c r="F45" s="79">
        <f>B29</f>
        <v>4686.57</v>
      </c>
      <c r="G45" s="78">
        <f t="shared" si="0"/>
        <v>87151.18</v>
      </c>
    </row>
  </sheetData>
  <mergeCells count="19">
    <mergeCell ref="A1:G1"/>
    <mergeCell ref="A13:G13"/>
    <mergeCell ref="B4:G4"/>
    <mergeCell ref="A2:G2"/>
    <mergeCell ref="B3:G3"/>
    <mergeCell ref="B11:G11"/>
    <mergeCell ref="B12:G12"/>
    <mergeCell ref="C6:G6"/>
    <mergeCell ref="C7:G7"/>
    <mergeCell ref="A8:G8"/>
    <mergeCell ref="A10:B10"/>
    <mergeCell ref="C9:G9"/>
    <mergeCell ref="C10:G10"/>
    <mergeCell ref="A36:G36"/>
    <mergeCell ref="A6:B6"/>
    <mergeCell ref="A7:B7"/>
    <mergeCell ref="C20:G20"/>
    <mergeCell ref="A5:G5"/>
    <mergeCell ref="A9:B9"/>
  </mergeCells>
  <printOptions horizontalCentered="1"/>
  <pageMargins left="0.7" right="0.7" top="0.75" bottom="0.75" header="0.3" footer="0.3"/>
  <pageSetup scale="86" orientation="portrait" verticalDpi="0" r:id="rId1"/>
  <headerFooter>
    <oddHeader xml:space="preserve">&amp;LCalifornia Community Colleges Chancellor's Office </oddHeader>
    <oddFooter>&amp;R&amp;D</oddFooter>
  </headerFooter>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p r o p e r t i e s   x m l n s = " h t t p : / / w w w . i m a n a g e . c o m / w o r k / x m l s c h e m a " >  
     < d o c u m e n t i d > I M A N A G E ! 8 6 9 0 1 5 . 1 < / d o c u m e n t i d >  
     < s e n d e r i d > J S M A L L W O O D @ C C C C O . E D U < / s e n d e r i d >  
     < s e n d e r e m a i l > J S M A L L W O O D @ C C C C O . E D U < / s e n d e r e m a i l >  
     < l a s t m o d i f i e d > 2 0 2 2 - 0 6 - 1 6 T 1 4 : 2 1 : 2 6 . 0 0 0 0 0 0 0 - 0 7 : 0 0 < / l a s t m o d i f i e d >  
     < d a t a b a s e > I M A N A G E < / d a t a b a s e >  
 < / 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E4BCF4D8983C40A36124FC3310ACB6" ma:contentTypeVersion="13" ma:contentTypeDescription="Create a new document." ma:contentTypeScope="" ma:versionID="e5d6dccae679e56a8b88b329b4ab2e7b">
  <xsd:schema xmlns:xsd="http://www.w3.org/2001/XMLSchema" xmlns:xs="http://www.w3.org/2001/XMLSchema" xmlns:p="http://schemas.microsoft.com/office/2006/metadata/properties" xmlns:ns3="c879b346-0b7d-453e-989e-4db3ade23c72" xmlns:ns4="89474bdd-c09e-4360-a4ae-bc1ba9dad73d" targetNamespace="http://schemas.microsoft.com/office/2006/metadata/properties" ma:root="true" ma:fieldsID="a5d4976b2553fd151da440897677418b" ns3:_="" ns4:_="">
    <xsd:import namespace="c879b346-0b7d-453e-989e-4db3ade23c72"/>
    <xsd:import namespace="89474bdd-c09e-4360-a4ae-bc1ba9dad73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9b346-0b7d-453e-989e-4db3ade23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474bdd-c09e-4360-a4ae-bc1ba9dad7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563A1-6F29-4DDD-B5C4-378AB8366285}">
  <ds:schemaRefs>
    <ds:schemaRef ds:uri="http://www.imanage.com/work/xmlschema"/>
  </ds:schemaRefs>
</ds:datastoreItem>
</file>

<file path=customXml/itemProps2.xml><?xml version="1.0" encoding="utf-8"?>
<ds:datastoreItem xmlns:ds="http://schemas.openxmlformats.org/officeDocument/2006/customXml" ds:itemID="{3CD03FDF-4467-4926-88C5-05013DCD4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9b346-0b7d-453e-989e-4db3ade23c72"/>
    <ds:schemaRef ds:uri="89474bdd-c09e-4360-a4ae-bc1ba9dad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54BCCD-9FD5-4B7C-AC0E-C9007457E5D0}">
  <ds:schemaRefs>
    <ds:schemaRef ds:uri="http://www.w3.org/XML/1998/namespace"/>
    <ds:schemaRef ds:uri="89474bdd-c09e-4360-a4ae-bc1ba9dad73d"/>
    <ds:schemaRef ds:uri="http://purl.org/dc/elements/1.1/"/>
    <ds:schemaRef ds:uri="http://schemas.microsoft.com/office/infopath/2007/PartnerControls"/>
    <ds:schemaRef ds:uri="http://schemas.openxmlformats.org/package/2006/metadata/core-properties"/>
    <ds:schemaRef ds:uri="c879b346-0b7d-453e-989e-4db3ade23c72"/>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CB5F083D-3C6F-49F0-8D32-CEEF5D4EA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Table of Contents</vt:lpstr>
      <vt:lpstr>Fall 2022 FON Compliance Form</vt:lpstr>
      <vt:lpstr>Definitions</vt:lpstr>
      <vt:lpstr>Fall 2022 Compliance FON</vt:lpstr>
      <vt:lpstr>Fall 2022 P2 FON Calculation</vt:lpstr>
      <vt:lpstr>FON Estimator</vt:lpstr>
      <vt:lpstr>ReplacementCost</vt:lpstr>
      <vt:lpstr>Base_FON</vt:lpstr>
      <vt:lpstr>Fall2022ComplianceFON</vt:lpstr>
      <vt:lpstr>Fall2022P2</vt:lpstr>
      <vt:lpstr>'Fall 2022 Compliance FON'!Print_Area</vt:lpstr>
      <vt:lpstr>'Fall 2022 FON Compliance Form'!Print_Area</vt:lpstr>
      <vt:lpstr>'Fall 2022 P2 FON Calculation'!Print_Area</vt:lpstr>
      <vt:lpstr>'FON Estimator'!Print_Area</vt:lpstr>
      <vt:lpstr>'Fall 2022 Compliance FON'!Print_Titles</vt:lpstr>
      <vt:lpstr>'Fall 2022 P2 FON Calculation'!Print_Titles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Kashu Vyas</dc:creator>
  <cp:lastModifiedBy>Anna Gonzalez</cp:lastModifiedBy>
  <cp:lastPrinted>2022-06-30T04:25:31Z</cp:lastPrinted>
  <dcterms:created xsi:type="dcterms:W3CDTF">2021-07-16T00:14:40Z</dcterms:created>
  <dcterms:modified xsi:type="dcterms:W3CDTF">2022-10-19T18:43:35Z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0x0101009AE4BCF4D8983C40A36124FC3310ACB6</vt:lpwstr>
  </property>
</Properties>
</file>